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8800" windowHeight="16460" tabRatio="802"/>
  </bookViews>
  <sheets>
    <sheet name="Lizenz" sheetId="9" r:id="rId1"/>
    <sheet name="Bedienungsanleitung" sheetId="13" r:id="rId2"/>
    <sheet name="CO2-Rechner" sheetId="7" r:id="rId3"/>
    <sheet name="Bundesbenchmark" sheetId="10" r:id="rId4"/>
    <sheet name="Grafiken Bundesvergleich" sheetId="12" r:id="rId5"/>
    <sheet name="CO2" sheetId="2" r:id="rId6"/>
    <sheet name="Stadtgrößenzuordnung" sheetId="6" r:id="rId7"/>
    <sheet name="Modal Split" sheetId="1" r:id="rId8"/>
    <sheet name="Wegelängen" sheetId="3" r:id="rId9"/>
    <sheet name="Rechner" sheetId="4" r:id="rId10"/>
    <sheet name="Einzelschritte" sheetId="5" r:id="rId11"/>
  </sheets>
  <definedNames>
    <definedName name="_xlnm._FilterDatabase" localSheetId="3" hidden="1">Bundesbenchmark!$A$3:$J$3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0" l="1"/>
  <c r="G5" i="10"/>
  <c r="F6" i="10"/>
  <c r="G6" i="10"/>
  <c r="F7" i="10"/>
  <c r="G7" i="10"/>
  <c r="F8" i="10"/>
  <c r="G8" i="10"/>
  <c r="F9" i="10"/>
  <c r="G9" i="10"/>
  <c r="F10" i="10"/>
  <c r="G10" i="10"/>
  <c r="F11" i="10"/>
  <c r="G11" i="10"/>
  <c r="F12" i="10"/>
  <c r="G12" i="10"/>
  <c r="F13" i="10"/>
  <c r="G13" i="10"/>
  <c r="F14" i="10"/>
  <c r="G14" i="10"/>
  <c r="F15" i="10"/>
  <c r="G15" i="10"/>
  <c r="F16" i="10"/>
  <c r="G16" i="10"/>
  <c r="F17" i="10"/>
  <c r="G17" i="10"/>
  <c r="F18" i="10"/>
  <c r="G18" i="10"/>
  <c r="F19" i="10"/>
  <c r="G19" i="10"/>
  <c r="F4" i="10"/>
  <c r="B12" i="6"/>
  <c r="A12" i="6"/>
  <c r="A15" i="3"/>
  <c r="B10" i="3"/>
  <c r="C5" i="3"/>
  <c r="D5" i="3"/>
  <c r="E5" i="3"/>
  <c r="F5" i="3"/>
  <c r="G5" i="3"/>
  <c r="H5" i="3"/>
  <c r="C6" i="3"/>
  <c r="D6" i="3"/>
  <c r="E6" i="3"/>
  <c r="F6" i="3"/>
  <c r="G6" i="3"/>
  <c r="H6" i="3"/>
  <c r="C7" i="3"/>
  <c r="D7" i="3"/>
  <c r="E7" i="3"/>
  <c r="F7" i="3"/>
  <c r="G7" i="3"/>
  <c r="H7" i="3"/>
  <c r="C8" i="3"/>
  <c r="D8" i="3"/>
  <c r="E8" i="3"/>
  <c r="F8" i="3"/>
  <c r="G8" i="3"/>
  <c r="H8" i="3"/>
  <c r="C9" i="3"/>
  <c r="D9" i="3"/>
  <c r="E9" i="3"/>
  <c r="F9" i="3"/>
  <c r="G9" i="3"/>
  <c r="H9" i="3"/>
  <c r="C4" i="3"/>
  <c r="E4" i="3"/>
  <c r="F4" i="3"/>
  <c r="G4" i="3"/>
  <c r="H4" i="3"/>
  <c r="D4" i="3"/>
  <c r="C3" i="3"/>
  <c r="D3" i="3"/>
  <c r="E3" i="3"/>
  <c r="F3" i="3"/>
  <c r="G3" i="3"/>
  <c r="H3" i="3"/>
  <c r="A13" i="1"/>
  <c r="C13" i="1"/>
  <c r="H8" i="7"/>
  <c r="D9" i="4"/>
  <c r="D9" i="7"/>
  <c r="D13" i="1"/>
  <c r="E9" i="4"/>
  <c r="E9" i="7"/>
  <c r="E13" i="1"/>
  <c r="F9" i="4"/>
  <c r="F9" i="7"/>
  <c r="F13" i="1"/>
  <c r="G9" i="4"/>
  <c r="G9" i="7"/>
  <c r="B13" i="1"/>
  <c r="C9" i="4"/>
  <c r="C9" i="7"/>
  <c r="B6" i="2"/>
  <c r="J7" i="10"/>
  <c r="J9" i="10"/>
  <c r="J4" i="10"/>
  <c r="J5" i="10"/>
  <c r="J10" i="10"/>
  <c r="J13" i="10"/>
  <c r="J11" i="10"/>
  <c r="J15" i="10"/>
  <c r="J6" i="10"/>
  <c r="J18" i="10"/>
  <c r="J8" i="10"/>
  <c r="J17" i="10"/>
  <c r="J12" i="10"/>
  <c r="J19" i="10"/>
  <c r="J16" i="10"/>
  <c r="J14" i="10"/>
  <c r="H32" i="10"/>
  <c r="H40" i="10"/>
  <c r="H28" i="10"/>
  <c r="H30" i="10"/>
  <c r="H33" i="10"/>
  <c r="H27" i="10"/>
  <c r="H38" i="10"/>
  <c r="H29" i="10"/>
  <c r="H35" i="10"/>
  <c r="H31" i="10"/>
  <c r="H42" i="10"/>
  <c r="H36" i="10"/>
  <c r="H39" i="10"/>
  <c r="H41" i="10"/>
  <c r="H37" i="10"/>
  <c r="H34" i="10"/>
  <c r="H14" i="10"/>
  <c r="H18" i="10"/>
  <c r="H16" i="10"/>
  <c r="H13" i="10"/>
  <c r="H19" i="10"/>
  <c r="H8" i="10"/>
  <c r="H12" i="10"/>
  <c r="H6" i="10"/>
  <c r="H15" i="10"/>
  <c r="G4" i="10"/>
  <c r="H4" i="10"/>
  <c r="H10" i="10"/>
  <c r="H7" i="10"/>
  <c r="H5" i="10"/>
  <c r="H17" i="10"/>
  <c r="H9" i="10"/>
  <c r="H11" i="10"/>
  <c r="C4" i="4"/>
  <c r="I15" i="3"/>
  <c r="C6" i="4"/>
  <c r="B27" i="4"/>
  <c r="C27" i="4"/>
  <c r="D15" i="3"/>
  <c r="C14" i="4"/>
  <c r="C33" i="4"/>
  <c r="C19" i="4"/>
  <c r="C39" i="4"/>
  <c r="D27" i="4"/>
  <c r="E15" i="3"/>
  <c r="D14" i="4"/>
  <c r="D33" i="4"/>
  <c r="D19" i="4"/>
  <c r="D39" i="4"/>
  <c r="E27" i="4"/>
  <c r="F15" i="3"/>
  <c r="E14" i="4"/>
  <c r="E33" i="4"/>
  <c r="B4" i="2"/>
  <c r="E19" i="4"/>
  <c r="E39" i="4"/>
  <c r="F27" i="4"/>
  <c r="G15" i="3"/>
  <c r="F14" i="4"/>
  <c r="F33" i="4"/>
  <c r="F19" i="4"/>
  <c r="F39" i="4"/>
  <c r="G27" i="4"/>
  <c r="H15" i="3"/>
  <c r="G14" i="4"/>
  <c r="G33" i="4"/>
  <c r="G19" i="4"/>
  <c r="G39" i="4"/>
  <c r="B39" i="4"/>
  <c r="E14" i="7"/>
  <c r="F21" i="7"/>
  <c r="F22" i="7"/>
  <c r="F23" i="7"/>
  <c r="F24" i="7"/>
  <c r="F25" i="7"/>
  <c r="G28" i="7"/>
  <c r="G30" i="7"/>
  <c r="D26" i="7"/>
  <c r="D28" i="7"/>
  <c r="F26" i="7"/>
  <c r="C21" i="7"/>
  <c r="E21" i="7"/>
  <c r="C22" i="7"/>
  <c r="E22" i="7"/>
  <c r="C23" i="7"/>
  <c r="E23" i="7"/>
  <c r="C24" i="7"/>
  <c r="E24" i="7"/>
  <c r="C25" i="7"/>
  <c r="E25" i="7"/>
  <c r="E26" i="7"/>
  <c r="C26" i="7"/>
  <c r="H26" i="7"/>
  <c r="E15" i="7"/>
  <c r="E16" i="7"/>
  <c r="G25" i="7"/>
  <c r="H9" i="7"/>
  <c r="B33" i="4"/>
  <c r="E13" i="7"/>
  <c r="E12" i="7"/>
  <c r="C15" i="3"/>
  <c r="B15" i="3"/>
  <c r="E11" i="7"/>
  <c r="B14" i="5"/>
  <c r="G29" i="7"/>
  <c r="H25" i="7"/>
  <c r="H24" i="7"/>
  <c r="G24" i="7"/>
  <c r="H23" i="7"/>
  <c r="G23" i="7"/>
  <c r="H22" i="7"/>
  <c r="G22" i="7"/>
  <c r="H21" i="7"/>
  <c r="G21" i="7"/>
  <c r="E49" i="5"/>
  <c r="B5" i="5"/>
  <c r="B30" i="5"/>
  <c r="E33" i="5"/>
  <c r="B39" i="5"/>
  <c r="B55" i="5"/>
  <c r="F49" i="5"/>
  <c r="D49" i="5"/>
  <c r="C49" i="5"/>
  <c r="B49" i="5"/>
  <c r="F52" i="5"/>
  <c r="E52" i="5"/>
  <c r="D52" i="5"/>
  <c r="C52" i="5"/>
  <c r="B52" i="5"/>
  <c r="B17" i="5"/>
  <c r="D17" i="5"/>
  <c r="F42" i="5"/>
  <c r="E42" i="5"/>
  <c r="D42" i="5"/>
  <c r="C42" i="5"/>
  <c r="B42" i="5"/>
  <c r="B33" i="5"/>
  <c r="B23" i="5"/>
  <c r="F33" i="5"/>
  <c r="D33" i="5"/>
  <c r="C33" i="5"/>
  <c r="C14" i="5"/>
  <c r="F17" i="5"/>
  <c r="E17" i="5"/>
  <c r="C17" i="5"/>
  <c r="B16" i="5"/>
  <c r="B19" i="5"/>
  <c r="B51" i="5"/>
  <c r="F14" i="5"/>
  <c r="E14" i="5"/>
  <c r="D14" i="5"/>
  <c r="B13" i="5"/>
  <c r="F19" i="5"/>
  <c r="E19" i="5"/>
  <c r="D19" i="5"/>
  <c r="C19" i="5"/>
  <c r="B22" i="5"/>
  <c r="F16" i="5"/>
  <c r="F51" i="5"/>
  <c r="E16" i="5"/>
  <c r="E51" i="5"/>
  <c r="D16" i="5"/>
  <c r="D51" i="5"/>
  <c r="C16" i="5"/>
  <c r="C51" i="5"/>
  <c r="F13" i="5"/>
  <c r="E13" i="5"/>
  <c r="D13" i="5"/>
  <c r="C13" i="5"/>
  <c r="B54" i="5"/>
  <c r="C48" i="5"/>
  <c r="B41" i="5"/>
  <c r="F48" i="5"/>
  <c r="D48" i="5"/>
  <c r="B38" i="5"/>
  <c r="B48" i="5"/>
  <c r="E48" i="5"/>
  <c r="E41" i="5"/>
  <c r="C41" i="5"/>
  <c r="D41" i="5"/>
  <c r="F32" i="5"/>
  <c r="D32" i="5"/>
  <c r="B29" i="5"/>
  <c r="B32" i="5"/>
  <c r="E32" i="5"/>
  <c r="C32" i="5"/>
  <c r="F41" i="5"/>
</calcChain>
</file>

<file path=xl/comments1.xml><?xml version="1.0" encoding="utf-8"?>
<comments xmlns="http://schemas.openxmlformats.org/spreadsheetml/2006/main">
  <authors>
    <author>Heinrich Strößenreuther</author>
  </authors>
  <commentList>
    <comment ref="F8" authorId="0">
      <text>
        <r>
          <rPr>
            <sz val="9"/>
            <color indexed="81"/>
            <rFont val="Calibri"/>
            <family val="2"/>
          </rPr>
          <t xml:space="preserve">Das Verhältnis Fahrer zu Mitfahrer liegt durchschnittlich bei 3:1. 
Gibt es nur einen Verkehrsanteil für den Pkw, lassen sich näherungsweise die beiden Werte wie folgt errechnen:
Auto (Fahrer) = Wert Pkw / 4 x 3
Auto (Mitfahrer) = Wert Pkw / 4 x 1
</t>
        </r>
      </text>
    </comment>
    <comment ref="H8" authorId="0">
      <text>
        <r>
          <rPr>
            <b/>
            <sz val="9"/>
            <color indexed="81"/>
            <rFont val="Calibri"/>
            <family val="2"/>
          </rPr>
          <t xml:space="preserve">Ist der Kontrollwert nicht exakt gleich 100, werden die Bundesdurchschnittswerte verwendet. </t>
        </r>
      </text>
    </comment>
  </commentList>
</comments>
</file>

<file path=xl/sharedStrings.xml><?xml version="1.0" encoding="utf-8"?>
<sst xmlns="http://schemas.openxmlformats.org/spreadsheetml/2006/main" count="354" uniqueCount="213">
  <si>
    <t>Einwohner</t>
  </si>
  <si>
    <t>500.000 und mehr</t>
  </si>
  <si>
    <t>100.000 bis unter 500.000</t>
  </si>
  <si>
    <t>50.000 bis unter 100.000</t>
  </si>
  <si>
    <t>20.000 bis unter 50.000</t>
  </si>
  <si>
    <t>5.000 bis unter 20.000</t>
  </si>
  <si>
    <t>2.000 bis unter 5.000</t>
  </si>
  <si>
    <t>unter 2.000</t>
  </si>
  <si>
    <t>Wegeanzahl</t>
  </si>
  <si>
    <t>Anteil Fußverkehr</t>
  </si>
  <si>
    <t>Anteil Radverkehr</t>
  </si>
  <si>
    <t>Anteil ÖV</t>
  </si>
  <si>
    <t>Anteil MIV (Fahrer)</t>
  </si>
  <si>
    <t>Anteil MIV (Mitfahrer)</t>
  </si>
  <si>
    <t>Durchschnittliche Länge</t>
  </si>
  <si>
    <t>Verkehrsmittel</t>
  </si>
  <si>
    <t>CO2/km</t>
  </si>
  <si>
    <t>Fuß</t>
  </si>
  <si>
    <t>Rad</t>
  </si>
  <si>
    <t>ÖV</t>
  </si>
  <si>
    <t>MIV (Fahrer)</t>
  </si>
  <si>
    <t>MIV (Mitfahrer)</t>
  </si>
  <si>
    <t>Gewichtung Wegelänge</t>
  </si>
  <si>
    <t>Gewichtete Wegelänge Fußverkehr</t>
  </si>
  <si>
    <t>Gewichtete Wegelänge Radverkehr</t>
  </si>
  <si>
    <t>Gewichtete Wegelänge ÖV</t>
  </si>
  <si>
    <t>Gewichtete Wegelänge MIV (Fahrer)</t>
  </si>
  <si>
    <t>Gewichtete Wegelänge MIV (Mitfahrer)</t>
  </si>
  <si>
    <t>Schnitt</t>
  </si>
  <si>
    <t>Listung aller einzelnen Rechenschritte</t>
  </si>
  <si>
    <t>Stadtgröße einer Zeile zuordnen</t>
  </si>
  <si>
    <t>Stadtgröße</t>
  </si>
  <si>
    <t>Co2-Ausstoß berechnen</t>
  </si>
  <si>
    <t>MIV-Fahrer</t>
  </si>
  <si>
    <t>MIV-Mitfahrer</t>
  </si>
  <si>
    <t>Sverweis - kurz</t>
  </si>
  <si>
    <t>Sverweis - komplett</t>
  </si>
  <si>
    <t>Daten auslesen</t>
  </si>
  <si>
    <t>kurz</t>
  </si>
  <si>
    <t>komplett</t>
  </si>
  <si>
    <t>Wegelänge berechnen</t>
  </si>
  <si>
    <t>gesamt</t>
  </si>
  <si>
    <t>Anzahl Wege/Tag</t>
  </si>
  <si>
    <t>Klasse</t>
  </si>
  <si>
    <t>Verkehrsmittelbezogen in [t]</t>
  </si>
  <si>
    <t>CO2-Emission in  [g]/[km]</t>
  </si>
  <si>
    <t>Wegelänge in [km]</t>
  </si>
  <si>
    <t>Modal Split in %</t>
  </si>
  <si>
    <t>Gesamtwegelänge/Tag in  [km]</t>
  </si>
  <si>
    <t>gesamt in [t]</t>
  </si>
  <si>
    <t>Die Anzahl der pro Tag mit einem Verkehrsmittel zurückgelegten Wege ist gleich der Einwohnerzahl mal der durchschnittlichen Wegezahl pro Tag für die Stadtgrößenklasse mal dem Anteil am Modal Split</t>
  </si>
  <si>
    <t>Die Länge der pro Tag mit einem Verkehrsmittel zurückgelegten Wege ist gleich der Einwohnerzahl mal der durchschnittlichen Wegeanzahl für die betreffenden Stadtgrößenklasse mal dem Anteil des Verkehrsmittels am Modal Split mal der durchschnittlichen Wegelänge des Verkehrsmittels in der betreffenden Stadtgrößenklasse</t>
  </si>
  <si>
    <t>Die CO2-Emissionen eines Verkehrsmittels pro Tag sind gleich der mit dem Verkehrsmittel der Einwohnerzahl mal der durchschnittlichen Wegeanzahl für die betreffenden Stadtgrößenklasse mal dem Anteil des Verkehrsmittels am Modal Split mal der durchschnittlichen Wegelänge des Verkehrsmittels in der betreffenden Stadtgrößenklasse mal der verkehrsmittelspezifischen CO2-Emission je Kilometer</t>
  </si>
  <si>
    <t>Emissionen pro Verkehrsmittel und Weg in [kg]</t>
  </si>
  <si>
    <t>Die Bürger Ihrer Stadt legen täglich</t>
  </si>
  <si>
    <t>Wege zurück,</t>
  </si>
  <si>
    <t>davon</t>
  </si>
  <si>
    <t>am Steuer eines Autos.</t>
  </si>
  <si>
    <t>Insgesamt fahren oder laufen die Bürger</t>
  </si>
  <si>
    <t>und produzieren so</t>
  </si>
  <si>
    <t>Felder dieser Farbe enthalten Daten, die aus dem Tabellenband der Studie "Mobilität in Deutschland 2008" entnommen wurden</t>
  </si>
  <si>
    <t>Das entspricht</t>
  </si>
  <si>
    <t>Reduktion.</t>
  </si>
  <si>
    <t>Sie sparen pro Tag</t>
  </si>
  <si>
    <t>Kilometer am Tag</t>
  </si>
  <si>
    <t>Fußverkehr</t>
  </si>
  <si>
    <t>Radverkehr</t>
  </si>
  <si>
    <t>Öffentlicher Nahverkehr</t>
  </si>
  <si>
    <t>Auf dem nachfolgenden Tabellenblatt finden Sie eine Liste unterschiedlicher Maßnahmen, mit denen Sie Ihre Einsparziele erreichen können. Zu jedem Verlagerungsziel gehören Maßnahmen und Budgets!</t>
  </si>
  <si>
    <t>Legende:</t>
  </si>
  <si>
    <t>In Spalte B sind aus MiD die durchschnittlichen Wegelängen für die sieben Stadttypen hinterlegt</t>
  </si>
  <si>
    <t>Damit werden dann die Bundesdurchschnittswegelängen der Verkehrsarten D10 bis H10 gewichtet</t>
  </si>
  <si>
    <t>Damit ist dann aus den Durchschnittsdaten folgendes berechnet: Die durchschnittliche Wegelänge je Verkehrsart je Stadtgrößentyp</t>
  </si>
  <si>
    <t>Durchschnittswert</t>
  </si>
  <si>
    <t>Ihre Stadt</t>
  </si>
  <si>
    <t>Kategorie</t>
  </si>
  <si>
    <t>Ausgabe der zur angegebenen Stadtgröße gehörenden Wegelängen</t>
  </si>
  <si>
    <t>Ausgabe der zur angegebenen Stadtgröße gehörenden Modal Split Werte</t>
  </si>
  <si>
    <t>Einwohnerzahl</t>
  </si>
  <si>
    <t>Modal Split [%]</t>
  </si>
  <si>
    <t>Wegelängen [km] (gewichtet)</t>
  </si>
  <si>
    <r>
      <t>CO</t>
    </r>
    <r>
      <rPr>
        <b/>
        <vertAlign val="subscript"/>
        <sz val="11"/>
        <color theme="1"/>
        <rFont val="Calibri"/>
        <scheme val="minor"/>
      </rPr>
      <t>2</t>
    </r>
    <r>
      <rPr>
        <b/>
        <sz val="11"/>
        <color theme="1"/>
        <rFont val="Calibri"/>
        <scheme val="minor"/>
      </rPr>
      <t>-Emissionen [g/km]</t>
    </r>
  </si>
  <si>
    <t>Durchschnittliche Wegezahl pro Einwohner und Tag</t>
  </si>
  <si>
    <t>Rechnungen</t>
  </si>
  <si>
    <t>Anzahl der Wege je Verkehrsmittel und Gesamt</t>
  </si>
  <si>
    <t>Gesamt</t>
  </si>
  <si>
    <r>
      <t>CO</t>
    </r>
    <r>
      <rPr>
        <b/>
        <vertAlign val="subscript"/>
        <sz val="11"/>
        <color theme="1"/>
        <rFont val="Calibri"/>
        <scheme val="minor"/>
      </rPr>
      <t>2</t>
    </r>
    <r>
      <rPr>
        <b/>
        <sz val="11"/>
        <color theme="1"/>
        <rFont val="Calibri"/>
        <scheme val="minor"/>
      </rPr>
      <t>-Emissionen je Verkehrsmittel und Gesamt [t]</t>
    </r>
  </si>
  <si>
    <t>Länge aller Wege je Verkehrsmittel und Gesamt [km]</t>
  </si>
  <si>
    <t>Anmerkung Modal Split:</t>
  </si>
  <si>
    <t>Anmerkung Wegelängen:</t>
  </si>
  <si>
    <t>Die Wegelängen werden für die entsprechende Stadtgrößenklasse aus der Tabelle "Wegelängen" ausgelesen. Die dort verzeichneten Werte wurden bereits gewichtet. Hierbei wurden die durchschittlichen verkehrsmittelspezifischen Wegelängen ins gleiche Verhältnis zu stadtgrößen- und verkehrsmittelspezifischen Wegelänge gesetzt, wie die bundesweit durchschnittliche Wegelänge zur durchschnittlichen stadtgrößenspezifischen Wegelänge.</t>
  </si>
  <si>
    <r>
      <t>Anmerkungen CO</t>
    </r>
    <r>
      <rPr>
        <b/>
        <vertAlign val="subscript"/>
        <sz val="11"/>
        <color theme="1"/>
        <rFont val="Calibri"/>
        <scheme val="minor"/>
      </rPr>
      <t>2</t>
    </r>
    <r>
      <rPr>
        <b/>
        <sz val="11"/>
        <color theme="1"/>
        <rFont val="Calibri"/>
        <scheme val="minor"/>
      </rPr>
      <t>-Emissionen:</t>
    </r>
  </si>
  <si>
    <t>Die Emissionswerte wurden der MiD 2008 entnommen, da keine aktuelleren Daten vorliegen, die den Kategorien der MiD 2008 entsprechen.</t>
  </si>
  <si>
    <t>Anmerkungen Berechnung der Wegeanzahl:</t>
  </si>
  <si>
    <t>Anmerkungen Berechnung der Wegelänge:</t>
  </si>
  <si>
    <r>
      <t>Anmerkungen Berechnung der CO</t>
    </r>
    <r>
      <rPr>
        <b/>
        <vertAlign val="subscript"/>
        <sz val="11"/>
        <color theme="1"/>
        <rFont val="Calibri"/>
        <scheme val="minor"/>
      </rPr>
      <t>2</t>
    </r>
    <r>
      <rPr>
        <b/>
        <sz val="11"/>
        <color theme="1"/>
        <rFont val="Calibri"/>
        <scheme val="minor"/>
      </rPr>
      <t>-Emissionen:</t>
    </r>
  </si>
  <si>
    <t>Die Wegeanzahl für die einzelnen Verkehrsmittel ergibt sich aus der Einwohnerzahl multipliziert mit der durchschnittlichen stadtgrößenspezifischen Wegezahl je Einwohner und Tag multipliziert mit dem stadtgrößenspezifischen Anteil des jeweiligen Verkehrsmittels am Modal Split.</t>
  </si>
  <si>
    <t>Die Wegelänge für die einzelnen Verkehrsmittel ergibt sich aus der stadtgrößenspezifischen Wegeanzahl je Verkehrsmittel (s.o.) multipliziert mit der stadtgrößen- und verkehrsmittelspezifischen Wegelänge je Verkehrsmittel.</t>
  </si>
  <si>
    <t>Die CO2-Emissionen je Verkehrsmittel ergeben sich aus der stadtgrößenspezifischen Wegelänge je Verkehrsmittel (s.o.) multipliziert mit der verkehrsmittelspezifischen CO2-Emission in Gramm je Kilometer geteilt durch 1.000.000.</t>
  </si>
  <si>
    <t>Falls in der Eingabemaske stadtspezifische Werte für den Modal Split eingegeben werden und diese sich auf genau 100 summieren, werden die eingegebenen Werte genutzt, andernfalls die Durchschnittswerte für die betreffende Stadtgrößenklasse aus der MiD 2008.</t>
  </si>
  <si>
    <t>Anteil in %</t>
  </si>
  <si>
    <r>
      <t>Tonnen CO</t>
    </r>
    <r>
      <rPr>
        <vertAlign val="subscript"/>
        <sz val="11"/>
        <color theme="1"/>
        <rFont val="Calibri"/>
        <family val="2"/>
        <scheme val="minor"/>
      </rPr>
      <t>2</t>
    </r>
    <r>
      <rPr>
        <b/>
        <sz val="11"/>
        <color theme="1"/>
        <rFont val="Calibri"/>
        <scheme val="minor"/>
      </rPr>
      <t xml:space="preserve"> täglich</t>
    </r>
  </si>
  <si>
    <t>lt. Mail-Auskunft vom 22.9.2015 von Herr Dr. Gohlisch, Umweltbundesamt, Umweltbundesamt, Fachgebiet  I 3.2 "Schadstoffminderung und Energieeinsparung im Verkehr", Wörlitzer Platz 1, D-06844 Dessau, Tel. +49(0)340 2103-6525 inkl. Vorketten zur Vergleichbarkeit mit ÖV</t>
  </si>
  <si>
    <t>Durchschnitt aus Linienbus (74), SPNV (72) sowie Straßen-, Stadt- und U-Bahn (74) gem. Download UBA vom 22.9.15: http://www.umweltbundesamt.de/sites/default/files/medien/376/bilder/dateien/vergleich_der_emissionen_einzelner_verkehrstraeger_im_personenverkehr_bezugsjahr_2012.pdf</t>
  </si>
  <si>
    <t>Felder dieser Farbe enthalten Daten des Umweltbundesamtes / Stand 2013 sowie Daten aus dem Netz (siehe oben)</t>
  </si>
  <si>
    <t>lt. VCD und ADAC pro 100 kg Gewicht 0,3 - 0,5 Liter pro 100 km zusätzlich (siehe https://www.vcd.org/themen/auto-umwelt/spritsparen/ ; https://www.adac.de/infotestrat/tanken-kraftstoffe-und-antrieb/spritsparen/sparen-beim-fahren-antwort-5.aspx?ComponentId=29537&amp;SourcePageId=47804); Umrechnung per 2,752 kg CO2 inkl. Vorkette pro Liter Benzin nach Quelle http://www5.umweltbundesamt.at/emas/co2mon/co2mon.htm#Erlaeuterungen</t>
  </si>
  <si>
    <t xml:space="preserve">Bitte geben Sie die Einwohnerzahl Ihrer Stadt ein:   </t>
  </si>
  <si>
    <t>Autoverkehr "Beifahrer"</t>
  </si>
  <si>
    <t>Autoverkehr "Allein-Fahrer"</t>
  </si>
  <si>
    <t>Summe 
= 100?</t>
  </si>
  <si>
    <t>pro Einwohner dieser Stadt also</t>
  </si>
  <si>
    <r>
      <t>Tonnen CO</t>
    </r>
    <r>
      <rPr>
        <vertAlign val="subscript"/>
        <sz val="11"/>
        <color theme="1"/>
        <rFont val="Calibri"/>
        <family val="2"/>
        <scheme val="minor"/>
      </rPr>
      <t>2</t>
    </r>
    <r>
      <rPr>
        <sz val="11"/>
        <color theme="1"/>
        <rFont val="Calibri"/>
        <family val="2"/>
        <scheme val="minor"/>
      </rPr>
      <t xml:space="preserve"> ein.</t>
    </r>
  </si>
  <si>
    <t>Fahrten / Weg</t>
  </si>
  <si>
    <t>Auto als Allein-Fahrer</t>
  </si>
  <si>
    <t>Auto als Beifahrer</t>
  </si>
  <si>
    <t>Mit dem Fahrrad</t>
  </si>
  <si>
    <t>Zu Fuß</t>
  </si>
  <si>
    <t>Mit Bus&amp;Bahn</t>
  </si>
  <si>
    <t>Tägliche Wege</t>
  </si>
  <si>
    <t>Reduktion / Steigerung</t>
  </si>
  <si>
    <t>Tägliche 
Wege neu</t>
  </si>
  <si>
    <t>x % mehr oder weniger Wege</t>
  </si>
  <si>
    <t>Verkehrs-
anteil neu</t>
  </si>
  <si>
    <t>Summe</t>
  </si>
  <si>
    <t xml:space="preserve"> = Eingabefeld</t>
  </si>
  <si>
    <r>
      <t>CO</t>
    </r>
    <r>
      <rPr>
        <vertAlign val="subscript"/>
        <sz val="11"/>
        <color theme="0"/>
        <rFont val="Calibri"/>
        <scheme val="minor"/>
      </rPr>
      <t>2</t>
    </r>
    <r>
      <rPr>
        <sz val="11"/>
        <color theme="0"/>
        <rFont val="Calibri"/>
        <scheme val="minor"/>
      </rPr>
      <t>-Potential
in Tonnen</t>
    </r>
  </si>
  <si>
    <t>xxx</t>
  </si>
  <si>
    <t>Was kann der CO2-Verkehrspolitik-Rechner?</t>
  </si>
  <si>
    <t>- Bundesweiten Durchschnittswerte für die Verkehrsmittelanteile nutzen</t>
  </si>
  <si>
    <t>- Ein überschlägiges Klimaschutzgutachten für den CO2-Ausstoß im Personenverkehr sofort berechnen</t>
  </si>
  <si>
    <t>- Für die Verlagerugnsstrategien sofort den CO2-Einspar-Effekt ausrechnen</t>
  </si>
  <si>
    <t>- Zu Ihrer Einwohner-Zahl den Stadtgrößen-Typ auswählen</t>
  </si>
  <si>
    <t>- Je Stadtgrößen-Typ die typische Wege- und Entfernungsklassen hinterlegen</t>
  </si>
  <si>
    <t>- Die Verkehrsarten Pkw-Allein-Fahrten und Mitfahrten differenzieren</t>
  </si>
  <si>
    <t>- Ihr Eingabe der Verkehrsmittelwahl Ihrer Stadt in die Berechnung einbeziehen</t>
  </si>
  <si>
    <t>- Aktuelleste Werte für den CO2-Ausstoß für Auto-Alleinfahrer, für Pkw-Mitfahrer, für Fahrgsäte in Bus &amp; Bahn einbeziehen</t>
  </si>
  <si>
    <t>Stadt</t>
  </si>
  <si>
    <t>Berlin</t>
  </si>
  <si>
    <t>Hamburg</t>
  </si>
  <si>
    <t>München</t>
  </si>
  <si>
    <t>Düsseldorf</t>
  </si>
  <si>
    <t>Stuttgart</t>
  </si>
  <si>
    <t>Bremen</t>
  </si>
  <si>
    <t>Hannover</t>
  </si>
  <si>
    <t>Dresden</t>
  </si>
  <si>
    <t>Kiel</t>
  </si>
  <si>
    <t>Schwerin</t>
  </si>
  <si>
    <t>Potsdam</t>
  </si>
  <si>
    <t>Magdeburg</t>
  </si>
  <si>
    <t>Erfurt</t>
  </si>
  <si>
    <t>Wiesbaden</t>
  </si>
  <si>
    <t>Mainz</t>
  </si>
  <si>
    <t>Saarbrücken</t>
  </si>
  <si>
    <t>CO2-Fußabdruck pro EW</t>
  </si>
  <si>
    <r>
      <t>CO</t>
    </r>
    <r>
      <rPr>
        <b/>
        <vertAlign val="subscript"/>
        <sz val="26"/>
        <color rgb="FF14A4EB"/>
        <rFont val="Calibri"/>
        <scheme val="minor"/>
      </rPr>
      <t>2</t>
    </r>
    <r>
      <rPr>
        <b/>
        <sz val="26"/>
        <color rgb="FF14A4EB"/>
        <rFont val="Calibri"/>
        <scheme val="minor"/>
      </rPr>
      <t>-Verkehrswende-Rechner</t>
    </r>
  </si>
  <si>
    <t>Bitte geben Sie an, wieviel Prozent aller Wege in Ihrer Stadt zu Fuß, mit dem Rad, Bus und Bahn, als Autofahrer oder Mitfahrer zurückgelegt werden. Wenn Sie nur einen Verkehrsanteil für den Autoverkehr insgesamt haben, können Sie näherungsweise 25% davon als "Beifahrer-Verkehr" und 75% als "Allein-Fahrer"-Verkehr ansetzen. Die Summe insgesamt muss exakt 100% ergeben, sonst wird mit den Bundesdurchschnittswerten Ihrer Stadtgröße gerechnet.</t>
  </si>
  <si>
    <t>Durchschnitt</t>
  </si>
  <si>
    <t>Durchschnittliche Länge in km</t>
  </si>
  <si>
    <t>Gewichtete Wegelänge Fußverkehr in km</t>
  </si>
  <si>
    <t>Gewichtete Wegelänge Radverkehr in km</t>
  </si>
  <si>
    <t>Gewichtete Wegelänge ÖV in km</t>
  </si>
  <si>
    <t>Gewichtete Wegelänge MIV (Fahrer)  in km</t>
  </si>
  <si>
    <t>Gewichtete Wegelänge MIV (Mitfahrer) in km</t>
  </si>
  <si>
    <t>Wegeanzahl pro Person und Tag</t>
  </si>
  <si>
    <t>CO2-Ausstoß pro Stadt</t>
  </si>
  <si>
    <t>- Die Eingabe der Einwohnerzahl Ihrer Stadt verarbeiten</t>
  </si>
  <si>
    <t>- Den CO2-Ausstoß pro Bürger und Jahr mit anderen Städten vergleichbar machen</t>
  </si>
  <si>
    <t>- Verlagerungspotenzialen durchspielen</t>
  </si>
  <si>
    <t xml:space="preserve"> = Quellenfeld mit Daten aus externen Studien</t>
  </si>
  <si>
    <t>= Berechnungsfeld</t>
  </si>
  <si>
    <t>= Wichtigsten Ergnisfelder</t>
  </si>
  <si>
    <r>
      <t>Tonnen CO</t>
    </r>
    <r>
      <rPr>
        <b/>
        <vertAlign val="subscript"/>
        <sz val="14"/>
        <color theme="1"/>
        <rFont val="Calibri"/>
        <scheme val="minor"/>
      </rPr>
      <t>2</t>
    </r>
    <r>
      <rPr>
        <b/>
        <sz val="14"/>
        <color theme="1"/>
        <rFont val="Calibri"/>
        <scheme val="minor"/>
      </rPr>
      <t xml:space="preserve"> pro Jahr, </t>
    </r>
  </si>
  <si>
    <r>
      <t>kg CO</t>
    </r>
    <r>
      <rPr>
        <b/>
        <vertAlign val="subscript"/>
        <sz val="14"/>
        <color theme="1"/>
        <rFont val="Calibri"/>
        <scheme val="minor"/>
      </rPr>
      <t>2</t>
    </r>
    <r>
      <rPr>
        <b/>
        <sz val="14"/>
        <color theme="1"/>
        <rFont val="Calibri"/>
        <scheme val="minor"/>
      </rPr>
      <t xml:space="preserve"> pro  Jahr!</t>
    </r>
  </si>
  <si>
    <t>bzw.</t>
  </si>
  <si>
    <r>
      <t>Das CO</t>
    </r>
    <r>
      <rPr>
        <vertAlign val="subscript"/>
        <sz val="11"/>
        <color theme="1"/>
        <rFont val="Calibri"/>
        <family val="2"/>
        <scheme val="minor"/>
      </rPr>
      <t>2</t>
    </r>
    <r>
      <rPr>
        <sz val="11"/>
        <color theme="1"/>
        <rFont val="Calibri"/>
        <family val="2"/>
        <scheme val="minor"/>
      </rPr>
      <t>-Reduktionsziel der Bundesregierung bis zum Jahr 2020 beträgt 40%. Gestalten Sie nun Ihre CO</t>
    </r>
    <r>
      <rPr>
        <vertAlign val="subscript"/>
        <sz val="11"/>
        <color theme="1"/>
        <rFont val="Calibri"/>
        <family val="2"/>
        <scheme val="minor"/>
      </rPr>
      <t>2</t>
    </r>
    <r>
      <rPr>
        <sz val="11"/>
        <color theme="1"/>
        <rFont val="Calibri"/>
        <family val="2"/>
        <scheme val="minor"/>
      </rPr>
      <t>-Strategie durch verkehrspolitische Maßnahmen. Tragen Sie deshalb ein, wie stark Sie den Pkw-Alleinfahrer-Verkehr verringern würden zugunsten von Pkw-Mitfahrten, Fahrten mit Bus und Bahn oder Wege mit dem Rad oder zu Fuß, um das 40%-Ziel zu erfüllen. Der CO</t>
    </r>
    <r>
      <rPr>
        <vertAlign val="subscript"/>
        <sz val="11"/>
        <color theme="1"/>
        <rFont val="Calibri"/>
        <family val="2"/>
        <scheme val="minor"/>
      </rPr>
      <t>2</t>
    </r>
    <r>
      <rPr>
        <sz val="11"/>
        <color theme="1"/>
        <rFont val="Calibri"/>
        <family val="2"/>
        <scheme val="minor"/>
      </rPr>
      <t>-Verkehrswende-Rechner berechnet Ihnen sofort den potentiellen Einsparbeitrag.</t>
    </r>
  </si>
  <si>
    <t>Erläuterungen / Datenherkunft</t>
  </si>
  <si>
    <t>Modal Split-Anteile nach Stadt-Größen gem. Bundesdurchschnittsdaten</t>
  </si>
  <si>
    <t>Eingegebene Einwohnerzahl</t>
  </si>
  <si>
    <t>Dazugehörig Stadt-Kategorie</t>
  </si>
  <si>
    <t>Zuordnung Stadtgröße zu Einwohnerzahl</t>
  </si>
  <si>
    <t>Felder dieser Farbe enthalten Daten, die aus dem Tabellenband der Studie "Mobilität in Deutschland 2008" entnommen wurden; Die Kategorien entsprechen den Gemeindegrößen im Tabellenband zur Studie "Mobilität in Deutschland (MiD) 2008"</t>
  </si>
  <si>
    <t>Zuordnung von durchschnittlichen Wegelängen je Verkehrsart nach Stadtgrößen</t>
  </si>
  <si>
    <t>Daraus wird in Spalte C die Gewichtung bzgl. des Durchschnitts berechnet: C3 = 88% besagt, dass in dieser Stadt der Durchschnittsweg 88% der Länge des Bundesdurchschnitts beträgt</t>
  </si>
  <si>
    <t>Datengrundlage der Rechnung / Erläuterung der Schritte</t>
  </si>
  <si>
    <t>Prüfsumme</t>
  </si>
  <si>
    <t>Einwohner*</t>
  </si>
  <si>
    <t>MS Fuß**</t>
  </si>
  <si>
    <t>MS Rad**</t>
  </si>
  <si>
    <t>MS ÖPNV**</t>
  </si>
  <si>
    <t>MS Auto Solo**</t>
  </si>
  <si>
    <t>MS Auto Mitfahrer</t>
  </si>
  <si>
    <t>Vergleich des CO2-Ausstoß pro Einwohner bzw. pro Stadt und Jahr bei den Landeshauptstädten Deutschlands</t>
  </si>
  <si>
    <t>MS Auto Mitfahrer ***</t>
  </si>
  <si>
    <t>*** Da die Summe der Modal-Split-Anteile bei den BVMI-Daten nicht immer 100% ergab, wurde dieser Fehler den zuberechnenden Mitfahrer-Anteilen zugeschlagen oder abgezogen. Der Modal-Split-Wert für die Mitfahrer wurde gebildet, in dem bei dem Original-Autofahrer-Anteil zu 3/4 auf den Alleine-Fahr-Verkehr und 1/4 auf den Mitfahr-Verkehr aufgeteilt wurde: Das entspricht bundesdurchschnittlichen Werten</t>
  </si>
  <si>
    <t>Original-Datenquelle BMVI *</t>
  </si>
  <si>
    <t>hier Einwohnerzahl eingeben</t>
  </si>
  <si>
    <t>hier den CO2-Ausstoß Ihrer Stadt pro Jahr im Verkehr ablesen</t>
  </si>
  <si>
    <t>hier den CO2-Ausstoß pro Einwohner und Jahr Ihrer Stadt im Verkehr ablesen</t>
  </si>
  <si>
    <t>hier die Zahl der zu reduzierenden Pkw-Alleine-Fahrten als negative Zahl eingeben</t>
  </si>
  <si>
    <t>hier entsprechend negative Zahlen für weniger Fahrten oder positive Zahlen für mehr Fahrten eingeben</t>
  </si>
  <si>
    <t>solange "durchspielen", bis hier 40% Einsparung in grüne Farbe anzeigt werden</t>
  </si>
  <si>
    <t>Bedienungsanleitung</t>
  </si>
  <si>
    <t>Berlin,05.11.2017 Diese kostenlose Version ist ausschließlich zum persönlichen, politischen oder ehrenamtlichen Gebrauch lizenisert. Jegliche kommerzielle Nutzung ist untersagt. Als Beta-Version können möglicherweise Fehler auftauchen, für die wir keine Gewähr übernehmen. Wer 100% wissenschaftlich korrekt seine CO2-Bilanz errechnen möchte, sollte dafür ein kostspieliges und langwierige Gutachten beauftragen. Die Werte von bereits bestehenden Gutachten werden vermutlich von hier zu berechnenden Werten abweichen, da wesentlich akribischer lokale Besonderheiten einbezogen werden, während der Verkehrswende-Rechnung mit Bundesdurchschnittsdaten rechnet. Viel Erfolg!</t>
  </si>
  <si>
    <t>Ein Projekt der Agentur für clevere Städte</t>
  </si>
  <si>
    <t>Und los geht’s mit dem Reiter &lt;Bedienungsanleitung&gt; und dann mit &lt;CO2-Rechner&gt;.</t>
  </si>
  <si>
    <t>PS: Wer sich die Grundlagen-Daten und Berechnungsmethodik anschauen will: in &lt;CO2&gt; stehen die angesetzten Werte für die Verkehrsarten. In &lt;Stadtgrößenzuordnung&gt; wird je nach Einwohnerzahl eine von sieben Stadtgrößen ausgewählt, die für die weitere Nutzung bundesweiter Durchschnittsdaten erforderlich ist. Bei &lt;Modal Split&gt; wird je Stadtgröße der Modal-Split-Wert angesetzt, sofern keine individuelle Angabe gemacht wurde. In &lt;Wegelängen&gt; werden gemäß der Stadtgröße die Wegelängen angepasst, die für die Gesamtberechnung dann erforderlich sind. in &lt;Rechner&gt; und &lt;Einzelschritte&gt; sind die Rechenschritte hinterlegt.</t>
  </si>
  <si>
    <r>
      <t>Der CO</t>
    </r>
    <r>
      <rPr>
        <b/>
        <vertAlign val="subscript"/>
        <sz val="28"/>
        <color theme="0"/>
        <rFont val="Calibri"/>
        <scheme val="minor"/>
      </rPr>
      <t>2</t>
    </r>
    <r>
      <rPr>
        <b/>
        <sz val="28"/>
        <color theme="0"/>
        <rFont val="Calibri"/>
        <scheme val="minor"/>
      </rPr>
      <t>-Verkehrswende-Rechner</t>
    </r>
  </si>
  <si>
    <t xml:space="preserve">hier Modal Split Werte für die fünf Verkehrsarten eingeben. Kennen Sie nur den Modal-Split-Wert für Pkw, dann setzen Sie 3/4 für Pkw-Alleine-Fahrten und 1/4 dieses Werte für Pkw-Mitfahren an. Ergibt die Prüfsumme nicht 100%, wird automatisch ein Bundesdurchschnittswert für die Stadtgröße angesetzt. </t>
  </si>
  <si>
    <t>**Gem BMVI-Modal-Split, Rundungsfehler enthalten, da Daten direkt aus der Originalquelle übernommen wurden (https://www.bmvi.de/SharedDocs/DE/Publikationen/K/radverkehr-in-zahlen.pdf?__blob=publicationFile)</t>
  </si>
  <si>
    <t>* Einwohner-Zahlen: Download Wikipedia 2.11.17 / überwiegend 2015; in der vollständigen Liste Großstädte zT Abweichungen (https://de.wikipedia.org/wiki/Liste_der_Großstädte_in_Deutschland)</t>
  </si>
  <si>
    <t>Anmerkung 1: Lt. Aktuellsten Zahlen liegt der durchschnittliche CO2-Ausstoß von E-Autos bei 149 Gramm CO2/km inkl. Vorketten und Strommix (Quelle: Bundesumweltministerium, Tweet des Staatssekretärs Jochen Flasbarth / https://twitter.com/JochenFlasbarth/status/926052818854862854). Diese Zahlen eingesetzt, zeigt sich nachwievor der enorme Verlagerungsbedarf auf den Radvekehr, den ÖPNV und die Kombination Rad und ÖPNV.</t>
  </si>
  <si>
    <t>Anmerkung 2: Es gibt durchaus weitere Daten, ggf. auch aktuellere Daten zu den CO2-Werten (siehe z.B. http://www.handelsblatt.com/unternehmen/industrie/co2-belastung-die-umstrittene-klimabilanz-des-elektroautos/20018160.html). Die CO2-Werte basieren einheitlich auf 2015-Daten. Die Modal-Split-Werte im Bundesbenchmark basieren i.d.R. auf der letzten großen Erhebung Mobilität in Deutschland von 2008 bzw. 2013. Aktuellere Zahlen besitzt auch das BMVI zur Zeit nicht.</t>
  </si>
  <si>
    <t xml:space="preserve">Anmerkung 3: Hier werden die Werte beim Pkw pro Fahrzeugkilometer angesetz (Alleine-Fahrer), bzw. des Mitfahrers als CO2/Pkm für einen Mitfahrer und beim ÖPNV ebenfalls CO2/Pkm.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</si>
</sst>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407]General"/>
    <numFmt numFmtId="165" formatCode="0.000"/>
    <numFmt numFmtId="166" formatCode="0.0"/>
    <numFmt numFmtId="167" formatCode="0.0%"/>
    <numFmt numFmtId="168" formatCode="_-* #,##0\ _€_-;\-* #,##0\ _€_-;_-* &quot;-&quot;??\ _€_-;_-@_-"/>
    <numFmt numFmtId="169" formatCode="_-* #,##0.0\ _€_-;\-* #,##0.0\ _€_-;_-* &quot;-&quot;??\ _€_-;_-@_-"/>
    <numFmt numFmtId="170" formatCode="#,##0.0"/>
  </numFmts>
  <fonts count="34" x14ac:knownFonts="1">
    <font>
      <sz val="11"/>
      <color theme="1"/>
      <name val="Calibri"/>
      <family val="2"/>
      <scheme val="minor"/>
    </font>
    <font>
      <sz val="11"/>
      <color rgb="FF000000"/>
      <name val="Calibri"/>
      <family val="2"/>
    </font>
    <font>
      <vertAlign val="subscrip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b/>
      <vertAlign val="subscript"/>
      <sz val="11"/>
      <color theme="1"/>
      <name val="Calibri"/>
      <scheme val="minor"/>
    </font>
    <font>
      <sz val="8"/>
      <name val="Calibri"/>
      <family val="2"/>
      <scheme val="minor"/>
    </font>
    <font>
      <b/>
      <sz val="26"/>
      <color rgb="FF14A4EB"/>
      <name val="Calibri"/>
      <scheme val="minor"/>
    </font>
    <font>
      <b/>
      <vertAlign val="subscript"/>
      <sz val="26"/>
      <color rgb="FF14A4EB"/>
      <name val="Calibri"/>
      <scheme val="minor"/>
    </font>
    <font>
      <sz val="11"/>
      <color rgb="FF14A4EB"/>
      <name val="Calibri"/>
      <scheme val="minor"/>
    </font>
    <font>
      <b/>
      <sz val="11"/>
      <color rgb="FF000000"/>
      <name val="Calibri"/>
    </font>
    <font>
      <b/>
      <sz val="11"/>
      <color theme="1"/>
      <name val="Calibri"/>
      <family val="2"/>
      <scheme val="minor"/>
    </font>
    <font>
      <b/>
      <sz val="11"/>
      <color rgb="FF000000"/>
      <name val="Calibri"/>
      <family val="2"/>
    </font>
    <font>
      <b/>
      <sz val="16"/>
      <color theme="1"/>
      <name val="Calibri"/>
      <family val="2"/>
      <scheme val="minor"/>
    </font>
    <font>
      <sz val="11"/>
      <name val="Calibri"/>
      <scheme val="minor"/>
    </font>
    <font>
      <sz val="9"/>
      <color indexed="81"/>
      <name val="Calibri"/>
      <family val="2"/>
    </font>
    <font>
      <b/>
      <sz val="9"/>
      <color indexed="81"/>
      <name val="Calibri"/>
      <family val="2"/>
    </font>
    <font>
      <sz val="11"/>
      <color theme="0"/>
      <name val="Calibri"/>
      <scheme val="minor"/>
    </font>
    <font>
      <b/>
      <sz val="12"/>
      <color theme="0"/>
      <name val="Calibri"/>
      <family val="2"/>
      <scheme val="minor"/>
    </font>
    <font>
      <b/>
      <sz val="11"/>
      <color theme="0"/>
      <name val="Calibri"/>
      <scheme val="minor"/>
    </font>
    <font>
      <vertAlign val="subscript"/>
      <sz val="11"/>
      <color theme="0"/>
      <name val="Calibri"/>
      <scheme val="minor"/>
    </font>
    <font>
      <sz val="11"/>
      <color theme="0"/>
      <name val="Calibri"/>
    </font>
    <font>
      <b/>
      <sz val="14"/>
      <color theme="1"/>
      <name val="Calibri"/>
      <scheme val="minor"/>
    </font>
    <font>
      <sz val="12"/>
      <color theme="0"/>
      <name val="Calibri"/>
      <family val="2"/>
      <scheme val="minor"/>
    </font>
    <font>
      <b/>
      <sz val="12"/>
      <name val="Calibri"/>
      <scheme val="minor"/>
    </font>
    <font>
      <b/>
      <vertAlign val="subscript"/>
      <sz val="14"/>
      <color theme="1"/>
      <name val="Calibri"/>
      <scheme val="minor"/>
    </font>
    <font>
      <b/>
      <sz val="11"/>
      <name val="Calibri"/>
      <scheme val="minor"/>
    </font>
    <font>
      <b/>
      <sz val="14"/>
      <color rgb="FF000000"/>
      <name val="Calibri"/>
    </font>
    <font>
      <b/>
      <sz val="12"/>
      <color rgb="FFFF0000"/>
      <name val="Calibri"/>
      <scheme val="minor"/>
    </font>
    <font>
      <sz val="10"/>
      <color theme="0"/>
      <name val="Calibri"/>
      <scheme val="minor"/>
    </font>
    <font>
      <b/>
      <sz val="28"/>
      <color theme="0"/>
      <name val="Calibri"/>
      <scheme val="minor"/>
    </font>
    <font>
      <b/>
      <vertAlign val="subscript"/>
      <sz val="28"/>
      <color theme="0"/>
      <name val="Calibri"/>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16B3EB"/>
        <bgColor indexed="64"/>
      </patternFill>
    </fill>
    <fill>
      <patternFill patternType="solid">
        <fgColor rgb="FF57D4F3"/>
        <bgColor indexed="64"/>
      </patternFill>
    </fill>
    <fill>
      <patternFill patternType="solid">
        <fgColor rgb="FF14A1E5"/>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BCBF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s>
  <cellStyleXfs count="293">
    <xf numFmtId="0" fontId="0" fillId="0" borderId="0"/>
    <xf numFmtId="164" fontId="1"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8">
    <xf numFmtId="0" fontId="0" fillId="0" borderId="0" xfId="0"/>
    <xf numFmtId="0" fontId="0" fillId="0" borderId="0" xfId="0" applyAlignment="1">
      <alignment wrapText="1"/>
    </xf>
    <xf numFmtId="0" fontId="0" fillId="0" borderId="0" xfId="0" applyAlignment="1">
      <alignment horizontal="center"/>
    </xf>
    <xf numFmtId="165" fontId="0" fillId="0" borderId="0" xfId="0" applyNumberFormat="1"/>
    <xf numFmtId="2" fontId="0" fillId="0" borderId="0" xfId="0" applyNumberFormat="1"/>
    <xf numFmtId="166" fontId="0" fillId="0" borderId="0" xfId="0" applyNumberFormat="1"/>
    <xf numFmtId="1" fontId="0" fillId="0" borderId="0" xfId="0" applyNumberFormat="1"/>
    <xf numFmtId="0" fontId="0" fillId="0" borderId="0" xfId="0" applyAlignment="1">
      <alignment horizontal="left"/>
    </xf>
    <xf numFmtId="1" fontId="0" fillId="0" borderId="0" xfId="0" applyNumberFormat="1" applyAlignment="1">
      <alignment horizontal="right"/>
    </xf>
    <xf numFmtId="0" fontId="0" fillId="0" borderId="0" xfId="0" applyAlignment="1">
      <alignment horizontal="right"/>
    </xf>
    <xf numFmtId="0" fontId="0" fillId="4" borderId="0" xfId="0" applyFill="1"/>
    <xf numFmtId="0" fontId="0" fillId="4" borderId="0" xfId="0" applyFill="1" applyAlignment="1">
      <alignment wrapText="1"/>
    </xf>
    <xf numFmtId="9" fontId="0" fillId="0" borderId="0" xfId="3" applyFont="1"/>
    <xf numFmtId="0" fontId="0" fillId="2" borderId="0" xfId="0" applyFill="1"/>
    <xf numFmtId="0" fontId="0" fillId="2" borderId="0" xfId="0" applyFill="1" applyAlignment="1">
      <alignment horizontal="left"/>
    </xf>
    <xf numFmtId="0" fontId="0" fillId="2" borderId="0" xfId="0" applyFill="1" applyAlignment="1">
      <alignment horizontal="center" vertical="center"/>
    </xf>
    <xf numFmtId="3" fontId="0" fillId="2" borderId="0" xfId="0" applyNumberFormat="1" applyFill="1"/>
    <xf numFmtId="9" fontId="0" fillId="2" borderId="0" xfId="3" applyFont="1" applyFill="1"/>
    <xf numFmtId="0" fontId="0" fillId="2" borderId="0" xfId="0" applyFill="1" applyAlignment="1"/>
    <xf numFmtId="0" fontId="0" fillId="2" borderId="0" xfId="0" applyFill="1" applyBorder="1" applyAlignment="1"/>
    <xf numFmtId="0" fontId="0" fillId="2" borderId="0" xfId="0" applyFill="1" applyBorder="1"/>
    <xf numFmtId="0" fontId="0" fillId="0" borderId="0" xfId="0" applyAlignment="1">
      <alignment horizontal="center"/>
    </xf>
    <xf numFmtId="164" fontId="1" fillId="0" borderId="1" xfId="1" applyBorder="1" applyAlignment="1">
      <alignment horizontal="center" vertical="center" wrapText="1"/>
    </xf>
    <xf numFmtId="164" fontId="0" fillId="0" borderId="0" xfId="0" applyNumberFormat="1"/>
    <xf numFmtId="0" fontId="6" fillId="0" borderId="0" xfId="0" applyFont="1"/>
    <xf numFmtId="0" fontId="0" fillId="0" borderId="0" xfId="0" applyBorder="1" applyAlignment="1">
      <alignment horizontal="center" vertical="center"/>
    </xf>
    <xf numFmtId="169" fontId="1" fillId="0" borderId="0" xfId="2" applyNumberFormat="1" applyFont="1" applyFill="1" applyBorder="1" applyAlignment="1">
      <alignment vertical="center" wrapText="1"/>
    </xf>
    <xf numFmtId="0" fontId="0" fillId="0" borderId="0" xfId="0" applyBorder="1" applyAlignment="1">
      <alignment horizontal="left" vertical="center"/>
    </xf>
    <xf numFmtId="0" fontId="13" fillId="0" borderId="0" xfId="0" applyFont="1"/>
    <xf numFmtId="164" fontId="14" fillId="0" borderId="8" xfId="1" applyFont="1" applyBorder="1" applyAlignment="1">
      <alignment horizontal="center" vertical="center" wrapText="1"/>
    </xf>
    <xf numFmtId="164" fontId="14" fillId="0" borderId="9" xfId="1"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0" fontId="13" fillId="0" borderId="10" xfId="0" applyFont="1" applyBorder="1" applyAlignment="1">
      <alignment horizontal="center" wrapText="1"/>
    </xf>
    <xf numFmtId="2" fontId="0" fillId="0" borderId="11" xfId="0" applyNumberFormat="1" applyBorder="1" applyAlignment="1">
      <alignment horizontal="center" vertical="center"/>
    </xf>
    <xf numFmtId="0" fontId="13" fillId="0" borderId="10" xfId="0" applyFont="1" applyBorder="1" applyAlignment="1">
      <alignment horizontal="center" vertical="center" wrapText="1"/>
    </xf>
    <xf numFmtId="2" fontId="0" fillId="0" borderId="12"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12" xfId="0" applyNumberFormat="1" applyBorder="1" applyAlignment="1">
      <alignment horizontal="center" vertical="center"/>
    </xf>
    <xf numFmtId="0" fontId="13" fillId="0" borderId="0" xfId="0" applyFont="1" applyBorder="1" applyAlignment="1">
      <alignment horizontal="center"/>
    </xf>
    <xf numFmtId="0" fontId="0" fillId="0" borderId="0" xfId="0" applyBorder="1"/>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4" xfId="0" applyBorder="1" applyAlignment="1">
      <alignment horizontal="center" vertical="center"/>
    </xf>
    <xf numFmtId="0" fontId="13" fillId="0" borderId="7" xfId="0" applyFont="1" applyBorder="1" applyAlignment="1">
      <alignment horizontal="center" vertical="center"/>
    </xf>
    <xf numFmtId="167" fontId="0" fillId="0" borderId="11" xfId="3" applyNumberFormat="1" applyFont="1" applyBorder="1" applyAlignment="1">
      <alignment horizontal="center" vertical="center"/>
    </xf>
    <xf numFmtId="0" fontId="0" fillId="0" borderId="0" xfId="0" applyFill="1" applyBorder="1"/>
    <xf numFmtId="168" fontId="0" fillId="0" borderId="10" xfId="2" applyNumberFormat="1" applyFont="1" applyBorder="1" applyAlignment="1">
      <alignment horizontal="center" vertical="center"/>
    </xf>
    <xf numFmtId="168" fontId="0" fillId="0" borderId="11" xfId="2" applyNumberFormat="1" applyFont="1" applyBorder="1" applyAlignment="1">
      <alignment horizontal="center" vertical="center"/>
    </xf>
    <xf numFmtId="168" fontId="0" fillId="0" borderId="12" xfId="2" applyNumberFormat="1" applyFont="1" applyBorder="1" applyAlignment="1">
      <alignment horizontal="center" vertical="center"/>
    </xf>
    <xf numFmtId="167" fontId="0" fillId="0" borderId="12" xfId="3" applyNumberFormat="1" applyFont="1" applyBorder="1" applyAlignment="1">
      <alignment horizontal="center" vertical="center"/>
    </xf>
    <xf numFmtId="167" fontId="0" fillId="0" borderId="0" xfId="3" applyNumberFormat="1" applyFont="1" applyBorder="1" applyAlignment="1">
      <alignment horizontal="center" vertical="center"/>
    </xf>
    <xf numFmtId="168" fontId="0" fillId="0" borderId="0" xfId="2" applyNumberFormat="1" applyFont="1" applyBorder="1" applyAlignment="1">
      <alignment horizontal="center" vertical="center"/>
    </xf>
    <xf numFmtId="0" fontId="0" fillId="0" borderId="0" xfId="0" applyAlignment="1">
      <alignment horizontal="center"/>
    </xf>
    <xf numFmtId="0" fontId="0" fillId="2" borderId="13" xfId="0" applyFill="1" applyBorder="1"/>
    <xf numFmtId="0" fontId="0" fillId="0" borderId="0" xfId="0" applyAlignment="1">
      <alignment vertical="center"/>
    </xf>
    <xf numFmtId="0" fontId="0" fillId="0" borderId="0" xfId="0" applyAlignment="1">
      <alignment horizontal="center" vertical="center"/>
    </xf>
    <xf numFmtId="0" fontId="0" fillId="2" borderId="0" xfId="0" applyFill="1" applyAlignment="1">
      <alignment vertical="center"/>
    </xf>
    <xf numFmtId="0" fontId="19" fillId="4" borderId="0" xfId="0" applyFont="1" applyFill="1" applyAlignment="1">
      <alignment horizontal="center" vertical="center"/>
    </xf>
    <xf numFmtId="0" fontId="19" fillId="0" borderId="0" xfId="0" applyFont="1" applyAlignment="1">
      <alignment horizontal="center" vertical="center"/>
    </xf>
    <xf numFmtId="0" fontId="0" fillId="2" borderId="0" xfId="0" applyFill="1" applyAlignment="1">
      <alignment wrapText="1"/>
    </xf>
    <xf numFmtId="166" fontId="16" fillId="2" borderId="1" xfId="0" applyNumberFormat="1" applyFont="1" applyFill="1" applyBorder="1" applyAlignment="1">
      <alignment horizontal="left" vertical="center"/>
    </xf>
    <xf numFmtId="0" fontId="0" fillId="2" borderId="1" xfId="0" applyFill="1" applyBorder="1" applyAlignment="1">
      <alignment vertical="center"/>
    </xf>
    <xf numFmtId="3" fontId="0" fillId="2" borderId="0" xfId="0" applyNumberFormat="1" applyFont="1" applyFill="1" applyAlignment="1">
      <alignment horizontal="center" vertical="center"/>
    </xf>
    <xf numFmtId="0" fontId="0" fillId="2" borderId="0" xfId="0" applyFont="1" applyFill="1" applyAlignment="1">
      <alignment vertical="center"/>
    </xf>
    <xf numFmtId="0" fontId="0" fillId="2" borderId="0" xfId="0" applyFill="1" applyBorder="1" applyAlignment="1">
      <alignment vertical="center"/>
    </xf>
    <xf numFmtId="0" fontId="0" fillId="2" borderId="0" xfId="0" applyFill="1" applyAlignment="1">
      <alignment vertical="center" wrapText="1"/>
    </xf>
    <xf numFmtId="0" fontId="0" fillId="2" borderId="0" xfId="0" applyFont="1" applyFill="1" applyBorder="1" applyAlignment="1">
      <alignment vertical="center"/>
    </xf>
    <xf numFmtId="0" fontId="0" fillId="2" borderId="0" xfId="0" applyFill="1" applyAlignment="1">
      <alignment horizontal="right" vertical="center"/>
    </xf>
    <xf numFmtId="0" fontId="6" fillId="2" borderId="0" xfId="0" applyFont="1" applyFill="1" applyAlignment="1">
      <alignment horizontal="right" vertical="center"/>
    </xf>
    <xf numFmtId="168" fontId="20" fillId="5" borderId="0" xfId="2" applyNumberFormat="1" applyFont="1" applyFill="1" applyBorder="1" applyAlignment="1">
      <alignment vertical="center"/>
    </xf>
    <xf numFmtId="166" fontId="21" fillId="5" borderId="1" xfId="0" applyNumberFormat="1" applyFont="1" applyFill="1" applyBorder="1" applyAlignment="1">
      <alignment horizontal="center" vertical="center"/>
    </xf>
    <xf numFmtId="3" fontId="21" fillId="5" borderId="1" xfId="0" applyNumberFormat="1" applyFont="1" applyFill="1" applyBorder="1" applyAlignment="1">
      <alignment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4" borderId="0" xfId="0" applyFont="1" applyFill="1"/>
    <xf numFmtId="0" fontId="19" fillId="0" borderId="0" xfId="0" applyFont="1"/>
    <xf numFmtId="0" fontId="6" fillId="0" borderId="2" xfId="164" applyFont="1" applyBorder="1"/>
    <xf numFmtId="0" fontId="3" fillId="0" borderId="0" xfId="164"/>
    <xf numFmtId="1" fontId="3" fillId="0" borderId="0" xfId="164" applyNumberFormat="1"/>
    <xf numFmtId="0" fontId="0" fillId="0" borderId="1" xfId="0" applyBorder="1" applyAlignment="1">
      <alignment vertical="center" wrapText="1"/>
    </xf>
    <xf numFmtId="164" fontId="1" fillId="0" borderId="1" xfId="1" applyBorder="1" applyAlignment="1">
      <alignment vertical="center" wrapText="1"/>
    </xf>
    <xf numFmtId="0" fontId="0" fillId="0" borderId="1" xfId="0" applyBorder="1" applyAlignment="1">
      <alignment vertical="center"/>
    </xf>
    <xf numFmtId="167" fontId="3" fillId="0" borderId="0" xfId="3" applyNumberFormat="1"/>
    <xf numFmtId="0" fontId="6" fillId="0" borderId="1" xfId="0" applyFont="1" applyBorder="1" applyAlignment="1">
      <alignment horizontal="center" vertical="center" wrapText="1"/>
    </xf>
    <xf numFmtId="49" fontId="0" fillId="2" borderId="0" xfId="0" applyNumberFormat="1" applyFill="1" applyAlignment="1">
      <alignment vertical="center"/>
    </xf>
    <xf numFmtId="168" fontId="26" fillId="5" borderId="0" xfId="2" applyNumberFormat="1" applyFont="1" applyFill="1" applyBorder="1" applyAlignment="1">
      <alignment horizontal="center" vertical="center"/>
    </xf>
    <xf numFmtId="168" fontId="26" fillId="8" borderId="0" xfId="2" applyNumberFormat="1" applyFont="1" applyFill="1" applyBorder="1" applyAlignment="1">
      <alignment horizontal="center" vertical="center"/>
    </xf>
    <xf numFmtId="168" fontId="26" fillId="7" borderId="0" xfId="2" applyNumberFormat="1" applyFont="1" applyFill="1" applyBorder="1" applyAlignment="1">
      <alignment horizontal="center" vertical="center"/>
    </xf>
    <xf numFmtId="168" fontId="26" fillId="3" borderId="0" xfId="2" applyNumberFormat="1" applyFont="1" applyFill="1" applyBorder="1" applyAlignment="1">
      <alignment horizontal="center" vertical="center"/>
    </xf>
    <xf numFmtId="166" fontId="0" fillId="7" borderId="1" xfId="0" applyNumberFormat="1" applyFill="1" applyBorder="1" applyAlignment="1">
      <alignment horizontal="center" vertical="center"/>
    </xf>
    <xf numFmtId="0" fontId="0" fillId="7" borderId="1" xfId="0" applyFill="1" applyBorder="1" applyAlignment="1">
      <alignment horizontal="center" vertical="center"/>
    </xf>
    <xf numFmtId="166" fontId="11" fillId="7" borderId="1" xfId="0" applyNumberFormat="1" applyFont="1" applyFill="1" applyBorder="1" applyAlignment="1">
      <alignment horizontal="center" vertical="center"/>
    </xf>
    <xf numFmtId="168" fontId="6" fillId="3" borderId="3" xfId="2" applyNumberFormat="1" applyFont="1" applyFill="1" applyBorder="1" applyAlignment="1">
      <alignment horizontal="right"/>
    </xf>
    <xf numFmtId="168" fontId="6" fillId="3" borderId="0" xfId="2" applyNumberFormat="1" applyFont="1" applyFill="1" applyBorder="1" applyAlignment="1">
      <alignment horizontal="right"/>
    </xf>
    <xf numFmtId="0" fontId="0" fillId="2" borderId="14" xfId="0" applyFill="1" applyBorder="1" applyAlignment="1">
      <alignment horizontal="right" vertical="center"/>
    </xf>
    <xf numFmtId="0" fontId="0" fillId="2" borderId="0" xfId="0" applyFill="1" applyBorder="1" applyAlignment="1">
      <alignment horizontal="right" vertical="center"/>
    </xf>
    <xf numFmtId="0" fontId="0" fillId="2" borderId="9" xfId="0" applyFill="1" applyBorder="1" applyAlignment="1">
      <alignment horizontal="right" vertical="center"/>
    </xf>
    <xf numFmtId="0" fontId="0" fillId="2" borderId="2" xfId="0" applyFill="1" applyBorder="1" applyAlignment="1">
      <alignment horizontal="right" vertical="center"/>
    </xf>
    <xf numFmtId="168" fontId="24" fillId="3" borderId="15" xfId="2" applyNumberFormat="1" applyFont="1" applyFill="1" applyBorder="1" applyAlignment="1">
      <alignment horizontal="right" vertical="center"/>
    </xf>
    <xf numFmtId="167" fontId="24" fillId="2" borderId="15" xfId="0" applyNumberFormat="1" applyFont="1" applyFill="1" applyBorder="1" applyAlignment="1">
      <alignment horizontal="center" vertical="center"/>
    </xf>
    <xf numFmtId="3" fontId="0" fillId="7" borderId="1" xfId="0" applyNumberFormat="1" applyFill="1" applyBorder="1" applyAlignment="1">
      <alignment vertical="center"/>
    </xf>
    <xf numFmtId="170" fontId="0" fillId="7" borderId="1" xfId="0" applyNumberFormat="1" applyFill="1" applyBorder="1" applyAlignment="1">
      <alignment vertical="center"/>
    </xf>
    <xf numFmtId="9" fontId="0" fillId="7" borderId="1" xfId="3" applyFont="1" applyFill="1" applyBorder="1" applyAlignment="1">
      <alignment vertical="center"/>
    </xf>
    <xf numFmtId="9" fontId="0" fillId="7" borderId="1" xfId="3" applyFont="1" applyFill="1" applyBorder="1" applyAlignment="1">
      <alignment horizontal="center" vertical="center"/>
    </xf>
    <xf numFmtId="167" fontId="0" fillId="7" borderId="1" xfId="3" applyNumberFormat="1" applyFont="1" applyFill="1" applyBorder="1" applyAlignment="1">
      <alignment horizontal="center" vertical="center"/>
    </xf>
    <xf numFmtId="169" fontId="28" fillId="8" borderId="1" xfId="2" applyNumberFormat="1" applyFont="1" applyFill="1" applyBorder="1" applyAlignment="1">
      <alignment horizontal="center" vertical="center"/>
    </xf>
    <xf numFmtId="0" fontId="0" fillId="0" borderId="1" xfId="0" applyFont="1" applyBorder="1" applyAlignment="1">
      <alignment horizontal="left" vertical="center" wrapText="1"/>
    </xf>
    <xf numFmtId="168" fontId="26" fillId="0" borderId="0" xfId="2" applyNumberFormat="1" applyFont="1" applyFill="1" applyBorder="1" applyAlignment="1">
      <alignment horizontal="center" vertical="center"/>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vertical="center"/>
    </xf>
    <xf numFmtId="169" fontId="1" fillId="8" borderId="1" xfId="2" applyNumberFormat="1" applyFont="1" applyFill="1" applyBorder="1" applyAlignment="1">
      <alignment vertical="center" wrapText="1"/>
    </xf>
    <xf numFmtId="164" fontId="1" fillId="9" borderId="1" xfId="1" applyFill="1" applyBorder="1" applyAlignment="1">
      <alignment horizontal="center" vertical="center" wrapText="1"/>
    </xf>
    <xf numFmtId="0" fontId="0" fillId="10" borderId="1" xfId="0" applyFill="1" applyBorder="1" applyAlignment="1">
      <alignment horizontal="center" vertical="center"/>
    </xf>
    <xf numFmtId="0" fontId="0" fillId="7" borderId="1" xfId="0" applyFill="1" applyBorder="1" applyAlignment="1">
      <alignment horizontal="center" wrapText="1"/>
    </xf>
    <xf numFmtId="166" fontId="0" fillId="7" borderId="1" xfId="0" applyNumberFormat="1" applyFill="1" applyBorder="1" applyAlignment="1">
      <alignment horizontal="center" wrapText="1"/>
    </xf>
    <xf numFmtId="0" fontId="0" fillId="8" borderId="0" xfId="0" applyFill="1"/>
    <xf numFmtId="0" fontId="0" fillId="11" borderId="1" xfId="0" applyFill="1" applyBorder="1" applyAlignment="1">
      <alignment horizontal="center" vertical="center"/>
    </xf>
    <xf numFmtId="164" fontId="1" fillId="8" borderId="1" xfId="1" applyFill="1" applyBorder="1" applyAlignment="1">
      <alignment vertical="center" wrapText="1"/>
    </xf>
    <xf numFmtId="0" fontId="6" fillId="9" borderId="1" xfId="0" applyFont="1" applyFill="1" applyBorder="1" applyAlignment="1">
      <alignment horizontal="center" vertical="center"/>
    </xf>
    <xf numFmtId="164" fontId="12" fillId="9"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7" borderId="1" xfId="0" applyFill="1" applyBorder="1" applyAlignment="1">
      <alignment horizontal="center"/>
    </xf>
    <xf numFmtId="168" fontId="0" fillId="7" borderId="1" xfId="2" applyNumberFormat="1" applyFont="1" applyFill="1" applyBorder="1" applyAlignment="1"/>
    <xf numFmtId="164" fontId="1" fillId="10" borderId="1" xfId="1" applyFill="1" applyBorder="1" applyAlignment="1">
      <alignment horizontal="center" vertical="center" wrapText="1"/>
    </xf>
    <xf numFmtId="166" fontId="1" fillId="7" borderId="1" xfId="1" applyNumberFormat="1" applyFill="1" applyBorder="1" applyAlignment="1">
      <alignment horizontal="center" vertical="center" wrapText="1"/>
    </xf>
    <xf numFmtId="9" fontId="1" fillId="7" borderId="1" xfId="3" applyFont="1" applyFill="1" applyBorder="1" applyAlignment="1">
      <alignment horizontal="center" vertical="center" wrapText="1"/>
    </xf>
    <xf numFmtId="2" fontId="1" fillId="7" borderId="1" xfId="1" applyNumberFormat="1" applyFill="1" applyBorder="1" applyAlignment="1">
      <alignment horizontal="center" vertical="center" wrapText="1"/>
    </xf>
    <xf numFmtId="164" fontId="1" fillId="8" borderId="1" xfId="1" applyFill="1" applyBorder="1" applyAlignment="1">
      <alignment horizontal="center" vertical="center" wrapText="1"/>
    </xf>
    <xf numFmtId="2" fontId="0" fillId="7" borderId="1" xfId="0" applyNumberFormat="1" applyFill="1" applyBorder="1" applyAlignment="1">
      <alignment horizontal="center" vertical="center"/>
    </xf>
    <xf numFmtId="0" fontId="24" fillId="0" borderId="0" xfId="0" applyFont="1"/>
    <xf numFmtId="0" fontId="0" fillId="0" borderId="0" xfId="164" applyFont="1"/>
    <xf numFmtId="0" fontId="3" fillId="0" borderId="1" xfId="164" applyBorder="1"/>
    <xf numFmtId="2" fontId="3" fillId="7" borderId="1" xfId="164" applyNumberFormat="1" applyFill="1" applyBorder="1"/>
    <xf numFmtId="0" fontId="3" fillId="0" borderId="0" xfId="164" applyAlignment="1">
      <alignment horizontal="center"/>
    </xf>
    <xf numFmtId="0" fontId="6" fillId="10" borderId="1" xfId="164" applyFont="1" applyFill="1" applyBorder="1" applyAlignment="1">
      <alignment horizontal="center" vertical="center" wrapText="1"/>
    </xf>
    <xf numFmtId="0" fontId="3" fillId="0" borderId="1" xfId="164" applyBorder="1" applyAlignment="1">
      <alignment vertical="center"/>
    </xf>
    <xf numFmtId="168" fontId="3" fillId="8" borderId="1" xfId="2" applyNumberFormat="1" applyFont="1" applyFill="1" applyBorder="1" applyAlignment="1">
      <alignment vertical="center"/>
    </xf>
    <xf numFmtId="166" fontId="3" fillId="8" borderId="1" xfId="164" applyNumberFormat="1" applyFill="1" applyBorder="1" applyAlignment="1">
      <alignment horizontal="center" vertical="center"/>
    </xf>
    <xf numFmtId="166" fontId="3" fillId="7" borderId="1" xfId="164" applyNumberFormat="1" applyFill="1" applyBorder="1" applyAlignment="1">
      <alignment horizontal="center" vertical="center"/>
    </xf>
    <xf numFmtId="2" fontId="3" fillId="7" borderId="1" xfId="164" applyNumberFormat="1" applyFill="1" applyBorder="1" applyAlignment="1">
      <alignment vertical="center"/>
    </xf>
    <xf numFmtId="2" fontId="3" fillId="3" borderId="1" xfId="164" applyNumberFormat="1" applyFill="1" applyBorder="1" applyAlignment="1">
      <alignment horizontal="center" vertical="center"/>
    </xf>
    <xf numFmtId="168" fontId="3" fillId="3" borderId="1" xfId="164" applyNumberFormat="1" applyFill="1" applyBorder="1" applyAlignment="1">
      <alignment vertical="center"/>
    </xf>
    <xf numFmtId="0" fontId="3" fillId="0" borderId="0" xfId="164" applyAlignment="1">
      <alignment vertical="center"/>
    </xf>
    <xf numFmtId="49" fontId="31" fillId="4" borderId="0" xfId="0" applyNumberFormat="1" applyFont="1" applyFill="1" applyAlignment="1">
      <alignment horizontal="left" vertical="top" wrapText="1"/>
    </xf>
    <xf numFmtId="49" fontId="19" fillId="4" borderId="0" xfId="0" applyNumberFormat="1" applyFont="1" applyFill="1" applyAlignment="1">
      <alignment horizontal="left" vertical="center" wrapText="1"/>
    </xf>
    <xf numFmtId="49" fontId="23" fillId="4" borderId="0" xfId="0" applyNumberFormat="1" applyFont="1" applyFill="1" applyAlignment="1">
      <alignment horizontal="left" vertical="center" wrapText="1"/>
    </xf>
    <xf numFmtId="49" fontId="30" fillId="4" borderId="0" xfId="0" applyNumberFormat="1" applyFont="1" applyFill="1" applyAlignment="1">
      <alignment horizontal="left" vertical="center" wrapText="1"/>
    </xf>
    <xf numFmtId="0" fontId="19" fillId="4" borderId="0" xfId="0" applyFont="1" applyFill="1" applyBorder="1" applyAlignment="1">
      <alignment horizontal="left" vertical="center" wrapText="1"/>
    </xf>
    <xf numFmtId="0" fontId="32" fillId="4" borderId="0" xfId="0" applyFont="1" applyFill="1" applyBorder="1" applyAlignment="1">
      <alignment horizontal="center" vertical="center" wrapText="1"/>
    </xf>
    <xf numFmtId="0" fontId="25" fillId="4" borderId="0" xfId="0" applyFont="1" applyFill="1" applyAlignment="1">
      <alignment horizontal="right" vertical="top" wrapText="1"/>
    </xf>
    <xf numFmtId="0" fontId="19" fillId="4" borderId="0" xfId="0" applyFont="1" applyFill="1" applyAlignment="1">
      <alignment horizontal="right" vertical="top" wrapText="1"/>
    </xf>
    <xf numFmtId="0" fontId="20" fillId="4" borderId="0" xfId="0" applyFont="1" applyFill="1" applyAlignment="1">
      <alignment horizontal="left" vertical="center" wrapText="1"/>
    </xf>
    <xf numFmtId="0" fontId="24" fillId="0" borderId="0" xfId="0" applyFont="1" applyAlignment="1">
      <alignment horizontal="center" vertical="center" wrapText="1"/>
    </xf>
    <xf numFmtId="0" fontId="0" fillId="0" borderId="0" xfId="0" applyAlignment="1">
      <alignment horizontal="left" vertical="top" wrapText="1"/>
    </xf>
    <xf numFmtId="0" fontId="0" fillId="2" borderId="0" xfId="0" applyFill="1" applyAlignment="1">
      <alignment horizontal="left" wrapText="1"/>
    </xf>
    <xf numFmtId="0" fontId="9" fillId="2" borderId="2" xfId="0" applyFont="1" applyFill="1" applyBorder="1" applyAlignment="1">
      <alignment horizontal="center"/>
    </xf>
    <xf numFmtId="0" fontId="0" fillId="2" borderId="0" xfId="0" applyFill="1" applyAlignment="1">
      <alignment horizontal="left" vertical="center" wrapText="1"/>
    </xf>
    <xf numFmtId="0" fontId="0" fillId="2" borderId="0" xfId="0" applyFont="1" applyFill="1" applyAlignment="1">
      <alignment horizontal="right" vertical="center" wrapText="1"/>
    </xf>
    <xf numFmtId="0" fontId="0" fillId="2" borderId="0" xfId="0" applyFill="1" applyAlignment="1">
      <alignment horizontal="left" vertical="center"/>
    </xf>
    <xf numFmtId="0" fontId="0" fillId="2" borderId="0" xfId="0" applyFill="1" applyBorder="1" applyAlignment="1">
      <alignment horizontal="left" vertical="center"/>
    </xf>
    <xf numFmtId="0" fontId="0" fillId="2" borderId="12" xfId="0" applyFill="1" applyBorder="1" applyAlignment="1">
      <alignment horizontal="right"/>
    </xf>
    <xf numFmtId="0" fontId="0" fillId="2" borderId="3" xfId="0" applyFill="1" applyBorder="1" applyAlignment="1">
      <alignment horizontal="right"/>
    </xf>
    <xf numFmtId="0" fontId="0" fillId="2" borderId="3" xfId="0" applyFill="1" applyBorder="1" applyAlignment="1">
      <alignment horizontal="left"/>
    </xf>
    <xf numFmtId="0" fontId="0" fillId="2" borderId="10" xfId="0" applyFill="1" applyBorder="1" applyAlignment="1">
      <alignment horizontal="left"/>
    </xf>
    <xf numFmtId="0" fontId="0" fillId="2" borderId="14" xfId="0" applyFill="1" applyBorder="1" applyAlignment="1">
      <alignment horizontal="right"/>
    </xf>
    <xf numFmtId="0" fontId="0" fillId="2" borderId="0" xfId="0" applyFill="1" applyBorder="1" applyAlignment="1">
      <alignment horizontal="right"/>
    </xf>
    <xf numFmtId="0" fontId="0" fillId="2" borderId="0" xfId="0" applyFill="1" applyBorder="1" applyAlignment="1">
      <alignment horizontal="left"/>
    </xf>
    <xf numFmtId="0" fontId="0" fillId="2" borderId="13" xfId="0" applyFill="1" applyBorder="1" applyAlignment="1">
      <alignment horizontal="left"/>
    </xf>
    <xf numFmtId="0" fontId="0" fillId="2" borderId="0" xfId="0" applyFill="1" applyBorder="1" applyAlignment="1">
      <alignment horizontal="left" wrapText="1"/>
    </xf>
    <xf numFmtId="0" fontId="24" fillId="2" borderId="2" xfId="0" applyFont="1" applyFill="1" applyBorder="1" applyAlignment="1">
      <alignment horizontal="left" vertical="center"/>
    </xf>
    <xf numFmtId="0" fontId="24" fillId="2" borderId="7" xfId="0" applyFont="1" applyFill="1" applyBorder="1" applyAlignment="1">
      <alignment horizontal="left" vertical="center"/>
    </xf>
    <xf numFmtId="0" fontId="24" fillId="2" borderId="0" xfId="0" applyFont="1" applyFill="1" applyBorder="1" applyAlignment="1">
      <alignment horizontal="left" vertical="center"/>
    </xf>
    <xf numFmtId="0" fontId="24" fillId="2" borderId="13" xfId="0" applyFont="1" applyFill="1" applyBorder="1" applyAlignment="1">
      <alignment horizontal="left" vertical="center"/>
    </xf>
    <xf numFmtId="0" fontId="24" fillId="0" borderId="0" xfId="164" applyFont="1" applyAlignment="1">
      <alignment horizontal="center" vertical="center"/>
    </xf>
    <xf numFmtId="0" fontId="0" fillId="0" borderId="0" xfId="164" applyFont="1" applyAlignment="1">
      <alignment horizontal="left" vertical="top" wrapText="1"/>
    </xf>
    <xf numFmtId="0" fontId="0" fillId="0" borderId="0" xfId="164" applyFont="1" applyAlignment="1">
      <alignment horizontal="center" vertical="center"/>
    </xf>
    <xf numFmtId="0" fontId="24" fillId="0" borderId="2" xfId="0" applyFont="1" applyBorder="1" applyAlignment="1">
      <alignment horizontal="center" vertical="center"/>
    </xf>
    <xf numFmtId="0" fontId="0" fillId="0" borderId="0" xfId="0" applyAlignment="1">
      <alignment horizontal="left" wrapText="1"/>
    </xf>
    <xf numFmtId="164" fontId="29" fillId="0" borderId="2" xfId="1" applyFont="1" applyFill="1" applyBorder="1" applyAlignment="1">
      <alignment horizontal="center" vertical="center"/>
    </xf>
    <xf numFmtId="0" fontId="0" fillId="0" borderId="0" xfId="0" applyAlignment="1">
      <alignment horizontal="center" wrapText="1"/>
    </xf>
    <xf numFmtId="164" fontId="29" fillId="0" borderId="4" xfId="1" applyFont="1" applyFill="1" applyBorder="1" applyAlignment="1">
      <alignment horizontal="center" vertical="center" wrapText="1"/>
    </xf>
    <xf numFmtId="164" fontId="29" fillId="0" borderId="5" xfId="1" applyFont="1" applyFill="1" applyBorder="1" applyAlignment="1">
      <alignment horizontal="center" vertical="center" wrapText="1"/>
    </xf>
    <xf numFmtId="164" fontId="29" fillId="0" borderId="6" xfId="1" applyFont="1" applyFill="1" applyBorder="1" applyAlignment="1">
      <alignment horizontal="center" vertical="center" wrapText="1"/>
    </xf>
    <xf numFmtId="0" fontId="0" fillId="10" borderId="1" xfId="0" applyFill="1" applyBorder="1" applyAlignment="1">
      <alignment horizontal="center" vertical="center"/>
    </xf>
    <xf numFmtId="0" fontId="0" fillId="0" borderId="0" xfId="0" applyAlignment="1">
      <alignment horizontal="center" vertical="center" wrapText="1"/>
    </xf>
    <xf numFmtId="0" fontId="15" fillId="0" borderId="0" xfId="0" applyFont="1" applyAlignment="1">
      <alignment horizontal="left"/>
    </xf>
    <xf numFmtId="0" fontId="15" fillId="0" borderId="0" xfId="0" applyFont="1" applyAlignment="1">
      <alignment horizontal="center" vertical="center"/>
    </xf>
    <xf numFmtId="167" fontId="0" fillId="0" borderId="0" xfId="3" applyNumberFormat="1" applyFont="1" applyBorder="1" applyAlignment="1">
      <alignment horizontal="center" vertical="center" wrapText="1"/>
    </xf>
    <xf numFmtId="0" fontId="0" fillId="0" borderId="0" xfId="0" applyAlignment="1">
      <alignment horizontal="center"/>
    </xf>
    <xf numFmtId="168" fontId="26" fillId="12" borderId="0" xfId="2" applyNumberFormat="1" applyFont="1" applyFill="1" applyBorder="1" applyAlignment="1">
      <alignment horizontal="center" vertical="center"/>
    </xf>
    <xf numFmtId="168" fontId="3" fillId="12" borderId="1" xfId="2" applyNumberFormat="1" applyFont="1" applyFill="1" applyBorder="1"/>
    <xf numFmtId="166" fontId="3" fillId="12" borderId="1" xfId="164" applyNumberFormat="1" applyFill="1" applyBorder="1" applyAlignment="1">
      <alignment horizontal="center"/>
    </xf>
  </cellXfs>
  <cellStyles count="293">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7" builtinId="9" hidden="1"/>
    <cellStyle name="Besuchter Link" xfId="79" builtinId="9" hidden="1"/>
    <cellStyle name="Besuchter Link" xfId="81" builtinId="9" hidden="1"/>
    <cellStyle name="Besuchter Link" xfId="83" builtinId="9" hidden="1"/>
    <cellStyle name="Besuchter Link" xfId="85" builtinId="9" hidden="1"/>
    <cellStyle name="Besuchter Link" xfId="87" builtinId="9" hidden="1"/>
    <cellStyle name="Besuchter Link" xfId="89" builtinId="9" hidden="1"/>
    <cellStyle name="Besuchter Link" xfId="91" builtinId="9" hidden="1"/>
    <cellStyle name="Besuchter Link" xfId="93" builtinId="9" hidden="1"/>
    <cellStyle name="Besuchter Link" xfId="95" builtinId="9" hidden="1"/>
    <cellStyle name="Besuchter Link" xfId="97" builtinId="9" hidden="1"/>
    <cellStyle name="Besuchter Link" xfId="99" builtinId="9" hidden="1"/>
    <cellStyle name="Besuchter Link" xfId="101" builtinId="9" hidden="1"/>
    <cellStyle name="Besuchter Link" xfId="103" builtinId="9" hidden="1"/>
    <cellStyle name="Besuchter Link" xfId="105" builtinId="9" hidden="1"/>
    <cellStyle name="Besuchter Link" xfId="107" builtinId="9" hidden="1"/>
    <cellStyle name="Besuchter Link" xfId="109" builtinId="9" hidden="1"/>
    <cellStyle name="Besuchter Link" xfId="111" builtinId="9" hidden="1"/>
    <cellStyle name="Besuchter Link" xfId="113" builtinId="9" hidden="1"/>
    <cellStyle name="Besuchter Link" xfId="115" builtinId="9" hidden="1"/>
    <cellStyle name="Besuchter Link" xfId="117" builtinId="9" hidden="1"/>
    <cellStyle name="Besuchter Link" xfId="119" builtinId="9" hidden="1"/>
    <cellStyle name="Besuchter Link" xfId="121" builtinId="9" hidden="1"/>
    <cellStyle name="Besuchter Link" xfId="123" builtinId="9" hidden="1"/>
    <cellStyle name="Besuchter Link" xfId="125" builtinId="9" hidden="1"/>
    <cellStyle name="Besuchter Link" xfId="127" builtinId="9" hidden="1"/>
    <cellStyle name="Besuchter Link" xfId="129" builtinId="9" hidden="1"/>
    <cellStyle name="Besuchter Link" xfId="131" builtinId="9" hidden="1"/>
    <cellStyle name="Besuchter Link" xfId="133" builtinId="9" hidden="1"/>
    <cellStyle name="Besuchter Link" xfId="135" builtinId="9" hidden="1"/>
    <cellStyle name="Besuchter Link" xfId="137" builtinId="9" hidden="1"/>
    <cellStyle name="Besuchter Link" xfId="139" builtinId="9" hidden="1"/>
    <cellStyle name="Besuchter Link" xfId="141" builtinId="9" hidden="1"/>
    <cellStyle name="Besuchter Link" xfId="143" builtinId="9" hidden="1"/>
    <cellStyle name="Besuchter Link" xfId="145" builtinId="9" hidden="1"/>
    <cellStyle name="Besuchter Link" xfId="147" builtinId="9" hidden="1"/>
    <cellStyle name="Besuchter Link" xfId="149" builtinId="9" hidden="1"/>
    <cellStyle name="Besuchter Link" xfId="151" builtinId="9" hidden="1"/>
    <cellStyle name="Besuchter Link" xfId="153" builtinId="9" hidden="1"/>
    <cellStyle name="Besuchter Link" xfId="155" builtinId="9" hidden="1"/>
    <cellStyle name="Besuchter Link" xfId="157" builtinId="9" hidden="1"/>
    <cellStyle name="Besuchter Link" xfId="159" builtinId="9" hidden="1"/>
    <cellStyle name="Besuchter Link" xfId="161" builtinId="9" hidden="1"/>
    <cellStyle name="Besuchter Link" xfId="163"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Dezimal" xfId="2" builtinId="3"/>
    <cellStyle name="Excel Built-in Normal" xfId="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Normal 2" xfId="164"/>
    <cellStyle name="Prozent" xfId="3" builtinId="5"/>
    <cellStyle name="Standard" xfId="0" builtinId="0"/>
  </cellStyles>
  <dxfs count="2">
    <dxf>
      <font>
        <color rgb="FF3366FF"/>
      </font>
      <fill>
        <patternFill patternType="solid">
          <fgColor indexed="64"/>
          <bgColor theme="4" tint="0.79998168889431442"/>
        </patternFill>
      </fill>
    </dxf>
    <dxf>
      <font>
        <color rgb="FF9C0006"/>
      </font>
      <fill>
        <patternFill>
          <bgColor rgb="FFFFC7CE"/>
        </patternFill>
      </fill>
    </dxf>
  </dxfs>
  <tableStyles count="0" defaultTableStyle="TableStyleMedium2" defaultPivotStyle="PivotStyleLight16"/>
  <colors>
    <mruColors>
      <color rgb="FF16B3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50800</xdr:colOff>
      <xdr:row>1</xdr:row>
      <xdr:rowOff>30480</xdr:rowOff>
    </xdr:from>
    <xdr:to>
      <xdr:col>6</xdr:col>
      <xdr:colOff>1483459</xdr:colOff>
      <xdr:row>4</xdr:row>
      <xdr:rowOff>162560</xdr:rowOff>
    </xdr:to>
    <xdr:pic>
      <xdr:nvPicPr>
        <xdr:cNvPr id="2" name="Bild 1" descr="Initiative_CS_RGB.png"/>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181600" y="396240"/>
          <a:ext cx="2611219"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1</xdr:row>
      <xdr:rowOff>63500</xdr:rowOff>
    </xdr:from>
    <xdr:to>
      <xdr:col>6</xdr:col>
      <xdr:colOff>468536</xdr:colOff>
      <xdr:row>36</xdr:row>
      <xdr:rowOff>101600</xdr:rowOff>
    </xdr:to>
    <xdr:pic>
      <xdr:nvPicPr>
        <xdr:cNvPr id="3" name="Bild 2"/>
        <xdr:cNvPicPr>
          <a:picLocks noChangeAspect="1"/>
        </xdr:cNvPicPr>
      </xdr:nvPicPr>
      <xdr:blipFill>
        <a:blip xmlns:r="http://schemas.openxmlformats.org/officeDocument/2006/relationships" r:embed="rId1"/>
        <a:stretch>
          <a:fillRect/>
        </a:stretch>
      </xdr:blipFill>
      <xdr:spPr>
        <a:xfrm>
          <a:off x="317500" y="241300"/>
          <a:ext cx="5104036" cy="6235700"/>
        </a:xfrm>
        <a:prstGeom prst="rect">
          <a:avLst/>
        </a:prstGeom>
        <a:ln>
          <a:solidFill>
            <a:srgbClr val="7F7F7F"/>
          </a:solidFill>
        </a:ln>
        <a:effectLst>
          <a:outerShdw blurRad="63500" sx="102000" sy="102000" algn="ctr"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223521</xdr:colOff>
      <xdr:row>24</xdr:row>
      <xdr:rowOff>404283</xdr:rowOff>
    </xdr:from>
    <xdr:to>
      <xdr:col>11</xdr:col>
      <xdr:colOff>256152</xdr:colOff>
      <xdr:row>41</xdr:row>
      <xdr:rowOff>162560</xdr:rowOff>
    </xdr:to>
    <xdr:pic>
      <xdr:nvPicPr>
        <xdr:cNvPr id="2" name="Bild 1"/>
        <xdr:cNvPicPr>
          <a:picLocks noChangeAspect="1"/>
        </xdr:cNvPicPr>
      </xdr:nvPicPr>
      <xdr:blipFill>
        <a:blip xmlns:r="http://schemas.openxmlformats.org/officeDocument/2006/relationships" r:embed="rId1"/>
        <a:stretch>
          <a:fillRect/>
        </a:stretch>
      </xdr:blipFill>
      <xdr:spPr>
        <a:xfrm>
          <a:off x="7376161" y="6134523"/>
          <a:ext cx="2643751" cy="3456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330200</xdr:colOff>
      <xdr:row>1</xdr:row>
      <xdr:rowOff>12700</xdr:rowOff>
    </xdr:from>
    <xdr:to>
      <xdr:col>8</xdr:col>
      <xdr:colOff>554332</xdr:colOff>
      <xdr:row>27</xdr:row>
      <xdr:rowOff>114300</xdr:rowOff>
    </xdr:to>
    <xdr:pic>
      <xdr:nvPicPr>
        <xdr:cNvPr id="2" name="Bild 1" descr="171105 Benchmark CO2-Ausstoß pro Kopf.png"/>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330200" y="190500"/>
          <a:ext cx="6828132" cy="4724400"/>
        </a:xfrm>
        <a:prstGeom prst="rect">
          <a:avLst/>
        </a:prstGeom>
        <a:ln>
          <a:solidFill>
            <a:schemeClr val="bg1">
              <a:lumMod val="50000"/>
            </a:schemeClr>
          </a:solidFill>
        </a:ln>
      </xdr:spPr>
    </xdr:pic>
    <xdr:clientData/>
  </xdr:twoCellAnchor>
  <xdr:twoCellAnchor editAs="oneCell">
    <xdr:from>
      <xdr:col>9</xdr:col>
      <xdr:colOff>0</xdr:colOff>
      <xdr:row>1</xdr:row>
      <xdr:rowOff>12700</xdr:rowOff>
    </xdr:from>
    <xdr:to>
      <xdr:col>17</xdr:col>
      <xdr:colOff>224132</xdr:colOff>
      <xdr:row>27</xdr:row>
      <xdr:rowOff>114300</xdr:rowOff>
    </xdr:to>
    <xdr:pic>
      <xdr:nvPicPr>
        <xdr:cNvPr id="3" name="Bild 2" descr="171105 Benchmark CO2-Ausstoß pro Stadt.png"/>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7429500" y="190500"/>
          <a:ext cx="6828132" cy="4724400"/>
        </a:xfrm>
        <a:prstGeom prst="rect">
          <a:avLst/>
        </a:prstGeom>
        <a:ln>
          <a:solidFill>
            <a:schemeClr val="bg1">
              <a:lumMod val="50000"/>
            </a:schemeClr>
          </a:solid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showGridLines="0" showRowColHeaders="0" tabSelected="1" zoomScale="125" zoomScaleNormal="125" zoomScalePageLayoutView="125" workbookViewId="0"/>
  </sheetViews>
  <sheetFormatPr baseColWidth="10" defaultRowHeight="14" x14ac:dyDescent="0"/>
  <cols>
    <col min="1" max="1" width="2.33203125" customWidth="1"/>
    <col min="2" max="6" width="15.5" customWidth="1"/>
    <col min="7" max="7" width="19.83203125" customWidth="1"/>
  </cols>
  <sheetData>
    <row r="1" spans="1:29" ht="13" customHeight="1">
      <c r="A1" s="10"/>
      <c r="B1" s="11"/>
      <c r="C1" s="11"/>
      <c r="D1" s="11"/>
      <c r="E1" s="11"/>
      <c r="F1" s="11"/>
      <c r="G1" s="11"/>
      <c r="H1" s="10"/>
      <c r="I1" s="10"/>
      <c r="J1" s="10"/>
      <c r="K1" s="10"/>
      <c r="L1" s="10"/>
      <c r="M1" s="10"/>
      <c r="N1" s="10"/>
      <c r="O1" s="10"/>
      <c r="P1" s="10"/>
      <c r="Q1" s="10"/>
      <c r="R1" s="10"/>
      <c r="S1" s="10"/>
      <c r="T1" s="10"/>
      <c r="U1" s="10"/>
      <c r="V1" s="10"/>
      <c r="W1" s="10"/>
      <c r="X1" s="10"/>
      <c r="Y1" s="10"/>
      <c r="Z1" s="10"/>
      <c r="AA1" s="10"/>
      <c r="AB1" s="10"/>
      <c r="AC1" s="10"/>
    </row>
    <row r="2" spans="1:29">
      <c r="A2" s="10"/>
      <c r="B2" s="11"/>
      <c r="C2" s="11"/>
      <c r="D2" s="11"/>
      <c r="E2" s="11"/>
      <c r="F2" s="64"/>
      <c r="G2" s="64"/>
      <c r="H2" s="10"/>
      <c r="I2" s="10"/>
      <c r="J2" s="10"/>
      <c r="K2" s="10"/>
      <c r="L2" s="10"/>
      <c r="M2" s="10"/>
      <c r="N2" s="10"/>
      <c r="O2" s="10"/>
      <c r="P2" s="10"/>
      <c r="Q2" s="10"/>
      <c r="R2" s="10"/>
      <c r="S2" s="10"/>
      <c r="T2" s="10"/>
      <c r="U2" s="10"/>
      <c r="V2" s="10"/>
      <c r="W2" s="10"/>
      <c r="X2" s="10"/>
      <c r="Y2" s="10"/>
      <c r="Z2" s="10"/>
      <c r="AA2" s="10"/>
      <c r="AB2" s="10"/>
      <c r="AC2" s="10"/>
    </row>
    <row r="3" spans="1:29" ht="17" customHeight="1">
      <c r="A3" s="10"/>
      <c r="B3" s="11"/>
      <c r="C3" s="11"/>
      <c r="D3" s="11"/>
      <c r="E3" s="11"/>
      <c r="F3" s="64"/>
      <c r="G3" s="64"/>
      <c r="H3" s="10"/>
      <c r="I3" s="10"/>
      <c r="J3" s="10"/>
      <c r="K3" s="10"/>
      <c r="L3" s="10"/>
      <c r="M3" s="10"/>
      <c r="N3" s="10"/>
      <c r="O3" s="10"/>
      <c r="P3" s="10"/>
      <c r="Q3" s="10"/>
      <c r="R3" s="10"/>
      <c r="S3" s="10"/>
      <c r="T3" s="10"/>
      <c r="U3" s="10"/>
      <c r="V3" s="10"/>
      <c r="W3" s="10"/>
      <c r="X3" s="10"/>
      <c r="Y3" s="10"/>
      <c r="Z3" s="10"/>
      <c r="AA3" s="10"/>
      <c r="AB3" s="10"/>
      <c r="AC3" s="10"/>
    </row>
    <row r="4" spans="1:29">
      <c r="A4" s="10"/>
      <c r="B4" s="11"/>
      <c r="C4" s="11"/>
      <c r="D4" s="11"/>
      <c r="E4" s="11"/>
      <c r="F4" s="64"/>
      <c r="G4" s="64"/>
      <c r="H4" s="10"/>
      <c r="I4" s="10"/>
      <c r="J4" s="10"/>
      <c r="K4" s="10"/>
      <c r="L4" s="10"/>
      <c r="M4" s="10"/>
      <c r="N4" s="10"/>
      <c r="O4" s="10"/>
      <c r="P4" s="10"/>
      <c r="Q4" s="10"/>
      <c r="R4" s="10"/>
      <c r="S4" s="10"/>
      <c r="T4" s="10"/>
      <c r="U4" s="10"/>
      <c r="V4" s="10"/>
      <c r="W4" s="10"/>
      <c r="X4" s="10"/>
      <c r="Y4" s="10"/>
      <c r="Z4" s="10"/>
      <c r="AA4" s="10"/>
      <c r="AB4" s="10"/>
      <c r="AC4" s="10"/>
    </row>
    <row r="5" spans="1:29">
      <c r="A5" s="10"/>
      <c r="B5" s="11"/>
      <c r="C5" s="11"/>
      <c r="D5" s="11"/>
      <c r="E5" s="11"/>
      <c r="F5" s="64"/>
      <c r="G5" s="64"/>
      <c r="H5" s="10"/>
      <c r="I5" s="10"/>
      <c r="J5" s="10"/>
      <c r="K5" s="10"/>
      <c r="L5" s="10"/>
      <c r="M5" s="10"/>
      <c r="N5" s="10"/>
      <c r="O5" s="10"/>
      <c r="P5" s="10"/>
      <c r="Q5" s="10"/>
      <c r="R5" s="10"/>
      <c r="S5" s="10"/>
      <c r="T5" s="10"/>
      <c r="U5" s="10"/>
      <c r="V5" s="10"/>
      <c r="W5" s="10"/>
      <c r="X5" s="10"/>
      <c r="Y5" s="10"/>
      <c r="Z5" s="10"/>
      <c r="AA5" s="10"/>
      <c r="AB5" s="10"/>
      <c r="AC5" s="10"/>
    </row>
    <row r="6" spans="1:29" ht="28" customHeight="1">
      <c r="A6" s="10"/>
      <c r="B6" s="11"/>
      <c r="C6" s="11"/>
      <c r="D6" s="11"/>
      <c r="E6" s="155" t="s">
        <v>203</v>
      </c>
      <c r="F6" s="156"/>
      <c r="G6" s="156"/>
      <c r="H6" s="10"/>
      <c r="I6" s="10"/>
      <c r="J6" s="10"/>
      <c r="K6" s="10"/>
      <c r="L6" s="10"/>
      <c r="M6" s="10"/>
      <c r="N6" s="10"/>
      <c r="O6" s="10"/>
      <c r="P6" s="10"/>
      <c r="Q6" s="10"/>
      <c r="R6" s="10"/>
      <c r="S6" s="10"/>
      <c r="T6" s="10"/>
      <c r="U6" s="10"/>
      <c r="V6" s="10"/>
      <c r="W6" s="10"/>
      <c r="X6" s="10"/>
      <c r="Y6" s="10"/>
      <c r="Z6" s="10"/>
      <c r="AA6" s="10"/>
      <c r="AB6" s="10"/>
      <c r="AC6" s="10"/>
    </row>
    <row r="7" spans="1:29" ht="28" customHeight="1">
      <c r="A7" s="10"/>
      <c r="B7" s="154" t="s">
        <v>206</v>
      </c>
      <c r="C7" s="154"/>
      <c r="D7" s="154"/>
      <c r="E7" s="154"/>
      <c r="F7" s="154"/>
      <c r="G7" s="154"/>
      <c r="H7" s="10"/>
      <c r="I7" s="10"/>
      <c r="J7" s="10"/>
      <c r="K7" s="10"/>
      <c r="L7" s="10"/>
      <c r="M7" s="10"/>
      <c r="N7" s="10"/>
      <c r="O7" s="10"/>
      <c r="P7" s="10"/>
      <c r="Q7" s="10"/>
      <c r="R7" s="10"/>
      <c r="S7" s="10"/>
      <c r="T7" s="10"/>
      <c r="U7" s="10"/>
      <c r="V7" s="10"/>
      <c r="W7" s="10"/>
      <c r="X7" s="10"/>
      <c r="Y7" s="10"/>
      <c r="Z7" s="10"/>
      <c r="AA7" s="10"/>
      <c r="AB7" s="10"/>
      <c r="AC7" s="10"/>
    </row>
    <row r="8" spans="1:29" ht="15" customHeight="1">
      <c r="A8" s="10"/>
      <c r="B8" s="154"/>
      <c r="C8" s="154"/>
      <c r="D8" s="154"/>
      <c r="E8" s="154"/>
      <c r="F8" s="154"/>
      <c r="G8" s="154"/>
      <c r="H8" s="10"/>
      <c r="I8" s="10"/>
      <c r="J8" s="10"/>
      <c r="K8" s="10"/>
      <c r="L8" s="10"/>
      <c r="M8" s="10"/>
      <c r="N8" s="10"/>
      <c r="O8" s="10"/>
      <c r="P8" s="10"/>
      <c r="Q8" s="10"/>
      <c r="R8" s="10"/>
      <c r="S8" s="10"/>
      <c r="T8" s="10"/>
      <c r="U8" s="10"/>
      <c r="V8" s="10"/>
      <c r="W8" s="10"/>
      <c r="X8" s="10"/>
      <c r="Y8" s="10"/>
      <c r="Z8" s="10"/>
      <c r="AA8" s="10"/>
      <c r="AB8" s="10"/>
      <c r="AC8" s="10"/>
    </row>
    <row r="9" spans="1:29" ht="15" customHeight="1">
      <c r="A9" s="10"/>
      <c r="B9" s="154"/>
      <c r="C9" s="154"/>
      <c r="D9" s="154"/>
      <c r="E9" s="154"/>
      <c r="F9" s="154"/>
      <c r="G9" s="154"/>
      <c r="H9" s="10"/>
      <c r="I9" s="10"/>
      <c r="J9" s="10"/>
      <c r="K9" s="10"/>
      <c r="L9" s="10"/>
      <c r="M9" s="10"/>
      <c r="N9" s="10"/>
      <c r="O9" s="10"/>
      <c r="P9" s="10"/>
      <c r="Q9" s="10"/>
      <c r="R9" s="10"/>
      <c r="S9" s="10"/>
      <c r="T9" s="10"/>
      <c r="U9" s="10"/>
      <c r="V9" s="10"/>
      <c r="W9" s="10"/>
      <c r="X9" s="10"/>
      <c r="Y9" s="10"/>
      <c r="Z9" s="10"/>
      <c r="AA9" s="10"/>
      <c r="AB9" s="10"/>
      <c r="AC9" s="10"/>
    </row>
    <row r="10" spans="1:29" s="63" customFormat="1" ht="84" customHeight="1">
      <c r="A10" s="62"/>
      <c r="B10" s="153" t="s">
        <v>202</v>
      </c>
      <c r="C10" s="153"/>
      <c r="D10" s="153"/>
      <c r="E10" s="153"/>
      <c r="F10" s="153"/>
      <c r="G10" s="153"/>
      <c r="H10" s="10"/>
      <c r="I10" s="10"/>
      <c r="J10" s="10"/>
      <c r="K10" s="10"/>
      <c r="L10" s="10"/>
      <c r="M10" s="10"/>
      <c r="N10" s="10"/>
      <c r="O10" s="10"/>
      <c r="P10" s="10"/>
      <c r="Q10" s="10"/>
      <c r="R10" s="10"/>
      <c r="S10" s="10"/>
      <c r="T10" s="10"/>
      <c r="U10" s="10"/>
      <c r="V10" s="10"/>
      <c r="W10" s="10"/>
      <c r="X10" s="10"/>
      <c r="Y10" s="10"/>
      <c r="Z10" s="10"/>
      <c r="AA10" s="10"/>
      <c r="AB10" s="10"/>
      <c r="AC10" s="10"/>
    </row>
    <row r="11" spans="1:29">
      <c r="A11" s="10"/>
      <c r="B11" s="11"/>
      <c r="C11" s="11"/>
      <c r="D11" s="11"/>
      <c r="E11" s="11"/>
      <c r="F11" s="11"/>
      <c r="G11" s="11"/>
      <c r="H11" s="10"/>
      <c r="I11" s="10"/>
      <c r="J11" s="10"/>
      <c r="K11" s="10"/>
      <c r="L11" s="10"/>
      <c r="M11" s="10"/>
      <c r="N11" s="10"/>
      <c r="O11" s="10"/>
      <c r="P11" s="10"/>
      <c r="Q11" s="10"/>
      <c r="R11" s="10"/>
      <c r="S11" s="10"/>
      <c r="T11" s="10"/>
      <c r="U11" s="10"/>
      <c r="V11" s="10"/>
      <c r="W11" s="10"/>
      <c r="X11" s="10"/>
      <c r="Y11" s="10"/>
      <c r="Z11" s="10"/>
      <c r="AA11" s="10"/>
      <c r="AB11" s="10"/>
      <c r="AC11" s="10"/>
    </row>
    <row r="12" spans="1:29" ht="42" customHeight="1">
      <c r="A12" s="10"/>
      <c r="B12" s="157" t="s">
        <v>127</v>
      </c>
      <c r="C12" s="157"/>
      <c r="D12" s="157"/>
      <c r="E12" s="157"/>
      <c r="F12" s="157"/>
      <c r="G12" s="157"/>
      <c r="H12" s="10"/>
      <c r="I12" s="10"/>
      <c r="J12" s="10"/>
      <c r="K12" s="10"/>
      <c r="L12" s="10"/>
      <c r="M12" s="10"/>
      <c r="N12" s="10"/>
      <c r="O12" s="10"/>
      <c r="P12" s="10"/>
      <c r="Q12" s="10"/>
      <c r="R12" s="10"/>
      <c r="S12" s="10"/>
      <c r="T12" s="10"/>
      <c r="U12" s="10"/>
      <c r="V12" s="10"/>
      <c r="W12" s="10"/>
      <c r="X12" s="10"/>
      <c r="Y12" s="10"/>
      <c r="Z12" s="10"/>
      <c r="AA12" s="10"/>
      <c r="AB12" s="10"/>
      <c r="AC12" s="10"/>
    </row>
    <row r="13" spans="1:29" s="80" customFormat="1" ht="22" customHeight="1">
      <c r="A13" s="79"/>
      <c r="B13" s="150" t="s">
        <v>165</v>
      </c>
      <c r="C13" s="150"/>
      <c r="D13" s="150"/>
      <c r="E13" s="150"/>
      <c r="F13" s="150"/>
      <c r="G13" s="150"/>
      <c r="H13" s="79"/>
      <c r="I13" s="79"/>
      <c r="J13" s="79"/>
      <c r="K13" s="79"/>
      <c r="L13" s="79"/>
      <c r="M13" s="79"/>
      <c r="N13" s="79"/>
      <c r="O13" s="79"/>
      <c r="P13" s="79"/>
      <c r="Q13" s="79"/>
      <c r="R13" s="79"/>
      <c r="S13" s="79"/>
      <c r="T13" s="79"/>
      <c r="U13" s="79"/>
      <c r="V13" s="79"/>
      <c r="W13" s="79"/>
      <c r="X13" s="79"/>
      <c r="Y13" s="79"/>
      <c r="Z13" s="79"/>
      <c r="AA13" s="79"/>
      <c r="AB13" s="79"/>
      <c r="AC13" s="79"/>
    </row>
    <row r="14" spans="1:29" s="80" customFormat="1" ht="22" customHeight="1">
      <c r="A14" s="79"/>
      <c r="B14" s="151" t="s">
        <v>131</v>
      </c>
      <c r="C14" s="151"/>
      <c r="D14" s="151"/>
      <c r="E14" s="151"/>
      <c r="F14" s="151"/>
      <c r="G14" s="151"/>
      <c r="H14" s="79"/>
      <c r="I14" s="79"/>
      <c r="J14" s="79"/>
      <c r="K14" s="79"/>
      <c r="L14" s="79"/>
      <c r="M14" s="79"/>
      <c r="N14" s="79"/>
      <c r="O14" s="79"/>
      <c r="P14" s="79"/>
      <c r="Q14" s="79"/>
      <c r="R14" s="79"/>
      <c r="S14" s="79"/>
      <c r="T14" s="79"/>
      <c r="U14" s="79"/>
      <c r="V14" s="79"/>
      <c r="W14" s="79"/>
      <c r="X14" s="79"/>
      <c r="Y14" s="79"/>
      <c r="Z14" s="79"/>
      <c r="AA14" s="79"/>
      <c r="AB14" s="79"/>
      <c r="AC14" s="79"/>
    </row>
    <row r="15" spans="1:29" s="80" customFormat="1" ht="22" customHeight="1">
      <c r="A15" s="79"/>
      <c r="B15" s="150" t="s">
        <v>132</v>
      </c>
      <c r="C15" s="150"/>
      <c r="D15" s="150"/>
      <c r="E15" s="150"/>
      <c r="F15" s="150"/>
      <c r="G15" s="150"/>
      <c r="H15" s="79"/>
      <c r="I15" s="79"/>
      <c r="J15" s="79"/>
      <c r="K15" s="79"/>
      <c r="L15" s="79"/>
      <c r="M15" s="79"/>
      <c r="N15" s="79"/>
      <c r="O15" s="79"/>
      <c r="P15" s="79"/>
      <c r="Q15" s="79"/>
      <c r="R15" s="79"/>
      <c r="S15" s="79"/>
      <c r="T15" s="79"/>
      <c r="U15" s="79"/>
      <c r="V15" s="79"/>
      <c r="W15" s="79"/>
      <c r="X15" s="79"/>
      <c r="Y15" s="79"/>
      <c r="Z15" s="79"/>
      <c r="AA15" s="79"/>
      <c r="AB15" s="79"/>
      <c r="AC15" s="79"/>
    </row>
    <row r="16" spans="1:29" s="80" customFormat="1" ht="22" customHeight="1">
      <c r="A16" s="79"/>
      <c r="B16" s="150" t="s">
        <v>128</v>
      </c>
      <c r="C16" s="150"/>
      <c r="D16" s="150"/>
      <c r="E16" s="150"/>
      <c r="F16" s="150"/>
      <c r="G16" s="150"/>
      <c r="H16" s="79"/>
      <c r="I16" s="79"/>
      <c r="J16" s="79"/>
      <c r="K16" s="79"/>
      <c r="L16" s="79"/>
      <c r="M16" s="79"/>
      <c r="N16" s="79"/>
      <c r="O16" s="79"/>
      <c r="P16" s="79"/>
      <c r="Q16" s="79"/>
      <c r="R16" s="79"/>
      <c r="S16" s="79"/>
      <c r="T16" s="79"/>
      <c r="U16" s="79"/>
      <c r="V16" s="79"/>
      <c r="W16" s="79"/>
      <c r="X16" s="79"/>
      <c r="Y16" s="79"/>
      <c r="Z16" s="79"/>
      <c r="AA16" s="79"/>
      <c r="AB16" s="79"/>
      <c r="AC16" s="79"/>
    </row>
    <row r="17" spans="1:29" s="80" customFormat="1" ht="22" customHeight="1">
      <c r="A17" s="79"/>
      <c r="B17" s="150" t="s">
        <v>133</v>
      </c>
      <c r="C17" s="150"/>
      <c r="D17" s="150"/>
      <c r="E17" s="150"/>
      <c r="F17" s="150"/>
      <c r="G17" s="150"/>
      <c r="H17" s="79"/>
      <c r="I17" s="79"/>
      <c r="J17" s="79"/>
      <c r="K17" s="79"/>
      <c r="L17" s="79"/>
      <c r="M17" s="79"/>
      <c r="N17" s="79"/>
      <c r="O17" s="79"/>
      <c r="P17" s="79"/>
      <c r="Q17" s="79"/>
      <c r="R17" s="79"/>
      <c r="S17" s="79"/>
      <c r="T17" s="79"/>
      <c r="U17" s="79"/>
      <c r="V17" s="79"/>
      <c r="W17" s="79"/>
      <c r="X17" s="79"/>
      <c r="Y17" s="79"/>
      <c r="Z17" s="79"/>
      <c r="AA17" s="79"/>
      <c r="AB17" s="79"/>
      <c r="AC17" s="79"/>
    </row>
    <row r="18" spans="1:29" s="80" customFormat="1" ht="22" customHeight="1">
      <c r="A18" s="79"/>
      <c r="B18" s="150" t="s">
        <v>134</v>
      </c>
      <c r="C18" s="150"/>
      <c r="D18" s="150"/>
      <c r="E18" s="150"/>
      <c r="F18" s="150"/>
      <c r="G18" s="150"/>
      <c r="H18" s="79"/>
      <c r="I18" s="79"/>
      <c r="J18" s="79"/>
      <c r="K18" s="79"/>
      <c r="L18" s="79"/>
      <c r="M18" s="79"/>
      <c r="N18" s="79"/>
      <c r="O18" s="79"/>
      <c r="P18" s="79"/>
      <c r="Q18" s="79"/>
      <c r="R18" s="79"/>
      <c r="S18" s="79"/>
      <c r="T18" s="79"/>
      <c r="U18" s="79"/>
      <c r="V18" s="79"/>
      <c r="W18" s="79"/>
      <c r="X18" s="79"/>
      <c r="Y18" s="79"/>
      <c r="Z18" s="79"/>
      <c r="AA18" s="79"/>
      <c r="AB18" s="79"/>
      <c r="AC18" s="79"/>
    </row>
    <row r="19" spans="1:29" s="80" customFormat="1" ht="22" customHeight="1">
      <c r="A19" s="79"/>
      <c r="B19" s="151" t="s">
        <v>135</v>
      </c>
      <c r="C19" s="151"/>
      <c r="D19" s="151"/>
      <c r="E19" s="151"/>
      <c r="F19" s="151"/>
      <c r="G19" s="151"/>
      <c r="H19" s="79"/>
      <c r="I19" s="79"/>
      <c r="J19" s="79"/>
      <c r="K19" s="79"/>
      <c r="L19" s="79"/>
      <c r="M19" s="79"/>
      <c r="N19" s="79"/>
      <c r="O19" s="79"/>
      <c r="P19" s="79"/>
      <c r="Q19" s="79"/>
      <c r="R19" s="79"/>
      <c r="S19" s="79"/>
      <c r="T19" s="79"/>
      <c r="U19" s="79"/>
      <c r="V19" s="79"/>
      <c r="W19" s="79"/>
      <c r="X19" s="79"/>
      <c r="Y19" s="79"/>
      <c r="Z19" s="79"/>
      <c r="AA19" s="79"/>
      <c r="AB19" s="79"/>
      <c r="AC19" s="79"/>
    </row>
    <row r="20" spans="1:29" s="80" customFormat="1" ht="22" customHeight="1">
      <c r="A20" s="79"/>
      <c r="B20" s="150" t="s">
        <v>129</v>
      </c>
      <c r="C20" s="150"/>
      <c r="D20" s="150"/>
      <c r="E20" s="150"/>
      <c r="F20" s="150"/>
      <c r="G20" s="150"/>
      <c r="H20" s="79"/>
      <c r="I20" s="79"/>
      <c r="J20" s="79"/>
      <c r="K20" s="79"/>
      <c r="L20" s="79"/>
      <c r="M20" s="79"/>
      <c r="N20" s="79"/>
      <c r="O20" s="79"/>
      <c r="P20" s="79"/>
      <c r="Q20" s="79"/>
      <c r="R20" s="79"/>
      <c r="S20" s="79"/>
      <c r="T20" s="79"/>
      <c r="U20" s="79"/>
      <c r="V20" s="79"/>
      <c r="W20" s="79"/>
      <c r="X20" s="79"/>
      <c r="Y20" s="79"/>
      <c r="Z20" s="79"/>
      <c r="AA20" s="79"/>
      <c r="AB20" s="79"/>
      <c r="AC20" s="79"/>
    </row>
    <row r="21" spans="1:29" s="80" customFormat="1" ht="22" customHeight="1">
      <c r="A21" s="79"/>
      <c r="B21" s="150" t="s">
        <v>166</v>
      </c>
      <c r="C21" s="150"/>
      <c r="D21" s="150"/>
      <c r="E21" s="150"/>
      <c r="F21" s="150"/>
      <c r="G21" s="150"/>
      <c r="H21" s="79"/>
      <c r="I21" s="79"/>
      <c r="J21" s="79"/>
      <c r="K21" s="79"/>
      <c r="L21" s="79"/>
      <c r="M21" s="79"/>
      <c r="N21" s="79"/>
      <c r="O21" s="79"/>
      <c r="P21" s="79"/>
      <c r="Q21" s="79"/>
      <c r="R21" s="79"/>
      <c r="S21" s="79"/>
      <c r="T21" s="79"/>
      <c r="U21" s="79"/>
      <c r="V21" s="79"/>
      <c r="W21" s="79"/>
      <c r="X21" s="79"/>
      <c r="Y21" s="79"/>
      <c r="Z21" s="79"/>
      <c r="AA21" s="79"/>
      <c r="AB21" s="79"/>
      <c r="AC21" s="79"/>
    </row>
    <row r="22" spans="1:29" s="80" customFormat="1" ht="22" customHeight="1">
      <c r="A22" s="79"/>
      <c r="B22" s="150" t="s">
        <v>167</v>
      </c>
      <c r="C22" s="150"/>
      <c r="D22" s="150"/>
      <c r="E22" s="150"/>
      <c r="F22" s="150"/>
      <c r="G22" s="150"/>
      <c r="H22" s="79"/>
      <c r="I22" s="79"/>
      <c r="J22" s="79"/>
      <c r="K22" s="79"/>
      <c r="L22" s="79"/>
      <c r="M22" s="79"/>
      <c r="N22" s="79"/>
      <c r="O22" s="79"/>
      <c r="P22" s="79"/>
      <c r="Q22" s="79"/>
      <c r="R22" s="79"/>
      <c r="S22" s="79"/>
      <c r="T22" s="79"/>
      <c r="U22" s="79"/>
      <c r="V22" s="79"/>
      <c r="W22" s="79"/>
      <c r="X22" s="79"/>
      <c r="Y22" s="79"/>
      <c r="Z22" s="79"/>
      <c r="AA22" s="79"/>
      <c r="AB22" s="79"/>
      <c r="AC22" s="79"/>
    </row>
    <row r="23" spans="1:29" s="80" customFormat="1" ht="22" customHeight="1">
      <c r="A23" s="79"/>
      <c r="B23" s="150" t="s">
        <v>130</v>
      </c>
      <c r="C23" s="150"/>
      <c r="D23" s="150"/>
      <c r="E23" s="150"/>
      <c r="F23" s="150"/>
      <c r="G23" s="150"/>
      <c r="H23" s="79"/>
      <c r="I23" s="79"/>
      <c r="J23" s="79"/>
      <c r="K23" s="79"/>
      <c r="L23" s="79"/>
      <c r="M23" s="79"/>
      <c r="N23" s="79"/>
      <c r="O23" s="79"/>
      <c r="P23" s="79"/>
      <c r="Q23" s="79"/>
      <c r="R23" s="79"/>
      <c r="S23" s="79"/>
      <c r="T23" s="79"/>
      <c r="U23" s="79"/>
      <c r="V23" s="79"/>
      <c r="W23" s="79"/>
      <c r="X23" s="79"/>
      <c r="Y23" s="79"/>
      <c r="Z23" s="79"/>
      <c r="AA23" s="79"/>
      <c r="AB23" s="79"/>
      <c r="AC23" s="79"/>
    </row>
    <row r="24" spans="1:29" s="80" customFormat="1" ht="22" customHeight="1">
      <c r="A24" s="79"/>
      <c r="B24" s="152" t="s">
        <v>204</v>
      </c>
      <c r="C24" s="152"/>
      <c r="D24" s="152"/>
      <c r="E24" s="152"/>
      <c r="F24" s="152"/>
      <c r="G24" s="152"/>
      <c r="H24" s="79"/>
      <c r="I24" s="79"/>
      <c r="J24" s="79"/>
      <c r="K24" s="79"/>
      <c r="L24" s="79"/>
      <c r="M24" s="79"/>
      <c r="N24" s="79"/>
      <c r="O24" s="79"/>
      <c r="P24" s="79"/>
      <c r="Q24" s="79"/>
      <c r="R24" s="79"/>
      <c r="S24" s="79"/>
      <c r="T24" s="79"/>
      <c r="U24" s="79"/>
      <c r="V24" s="79"/>
      <c r="W24" s="79"/>
      <c r="X24" s="79"/>
      <c r="Y24" s="79"/>
      <c r="Z24" s="79"/>
      <c r="AA24" s="79"/>
      <c r="AB24" s="79"/>
      <c r="AC24" s="79"/>
    </row>
    <row r="25" spans="1:29" s="80" customFormat="1" ht="22" customHeight="1">
      <c r="A25" s="79"/>
      <c r="B25" s="150"/>
      <c r="C25" s="150"/>
      <c r="D25" s="150"/>
      <c r="E25" s="150"/>
      <c r="F25" s="150"/>
      <c r="G25" s="150"/>
      <c r="H25" s="79"/>
      <c r="I25" s="79"/>
      <c r="J25" s="79"/>
      <c r="K25" s="79"/>
      <c r="L25" s="79"/>
      <c r="M25" s="79"/>
      <c r="N25" s="79"/>
      <c r="O25" s="79"/>
      <c r="P25" s="79"/>
      <c r="Q25" s="79"/>
      <c r="R25" s="79"/>
      <c r="S25" s="79"/>
      <c r="T25" s="79"/>
      <c r="U25" s="79"/>
      <c r="V25" s="79"/>
      <c r="W25" s="79"/>
      <c r="X25" s="79"/>
      <c r="Y25" s="79"/>
      <c r="Z25" s="79"/>
      <c r="AA25" s="79"/>
      <c r="AB25" s="79"/>
      <c r="AC25" s="79"/>
    </row>
    <row r="26" spans="1:29" s="80" customFormat="1" ht="22" customHeight="1">
      <c r="A26" s="79"/>
      <c r="B26" s="149" t="s">
        <v>205</v>
      </c>
      <c r="C26" s="149"/>
      <c r="D26" s="149"/>
      <c r="E26" s="149"/>
      <c r="F26" s="149"/>
      <c r="G26" s="149"/>
      <c r="H26" s="79"/>
      <c r="I26" s="79"/>
      <c r="J26" s="79"/>
      <c r="K26" s="79"/>
      <c r="L26" s="79"/>
      <c r="M26" s="79"/>
      <c r="N26" s="79"/>
      <c r="O26" s="79"/>
      <c r="P26" s="79"/>
      <c r="Q26" s="79"/>
      <c r="R26" s="79"/>
      <c r="S26" s="79"/>
      <c r="T26" s="79"/>
      <c r="U26" s="79"/>
      <c r="V26" s="79"/>
      <c r="W26" s="79"/>
      <c r="X26" s="79"/>
      <c r="Y26" s="79"/>
      <c r="Z26" s="79"/>
      <c r="AA26" s="79"/>
      <c r="AB26" s="79"/>
      <c r="AC26" s="79"/>
    </row>
    <row r="27" spans="1:29" s="80" customFormat="1" ht="22" customHeight="1">
      <c r="A27" s="79"/>
      <c r="B27" s="149"/>
      <c r="C27" s="149"/>
      <c r="D27" s="149"/>
      <c r="E27" s="149"/>
      <c r="F27" s="149"/>
      <c r="G27" s="149"/>
      <c r="H27" s="79"/>
      <c r="I27" s="79"/>
      <c r="J27" s="79"/>
      <c r="K27" s="79"/>
      <c r="L27" s="79"/>
      <c r="M27" s="79"/>
      <c r="N27" s="79"/>
      <c r="O27" s="79"/>
      <c r="P27" s="79"/>
      <c r="Q27" s="79"/>
      <c r="R27" s="79"/>
      <c r="S27" s="79"/>
      <c r="T27" s="79"/>
      <c r="U27" s="79"/>
      <c r="V27" s="79"/>
      <c r="W27" s="79"/>
      <c r="X27" s="79"/>
      <c r="Y27" s="79"/>
      <c r="Z27" s="79"/>
      <c r="AA27" s="79"/>
      <c r="AB27" s="79"/>
      <c r="AC27" s="79"/>
    </row>
    <row r="28" spans="1:29">
      <c r="A28" s="10"/>
      <c r="B28" s="149"/>
      <c r="C28" s="149"/>
      <c r="D28" s="149"/>
      <c r="E28" s="149"/>
      <c r="F28" s="149"/>
      <c r="G28" s="149"/>
      <c r="H28" s="10"/>
      <c r="I28" s="10"/>
      <c r="J28" s="10"/>
      <c r="K28" s="10"/>
      <c r="L28" s="10"/>
      <c r="M28" s="10"/>
      <c r="N28" s="10"/>
      <c r="O28" s="10"/>
      <c r="P28" s="10"/>
      <c r="Q28" s="10"/>
      <c r="R28" s="10"/>
      <c r="S28" s="10"/>
      <c r="T28" s="10"/>
      <c r="U28" s="10"/>
      <c r="V28" s="10"/>
      <c r="W28" s="10"/>
      <c r="X28" s="10"/>
      <c r="Y28" s="10"/>
      <c r="Z28" s="10"/>
      <c r="AA28" s="10"/>
      <c r="AB28" s="10"/>
      <c r="AC28" s="10"/>
    </row>
    <row r="29" spans="1:29">
      <c r="A29" s="10"/>
      <c r="B29" s="149"/>
      <c r="C29" s="149"/>
      <c r="D29" s="149"/>
      <c r="E29" s="149"/>
      <c r="F29" s="149"/>
      <c r="G29" s="149"/>
      <c r="H29" s="10"/>
      <c r="I29" s="10"/>
      <c r="J29" s="10"/>
      <c r="K29" s="10"/>
      <c r="L29" s="10"/>
      <c r="M29" s="10"/>
      <c r="N29" s="10"/>
      <c r="O29" s="10"/>
      <c r="P29" s="10"/>
      <c r="Q29" s="10"/>
      <c r="R29" s="10"/>
      <c r="S29" s="10"/>
      <c r="T29" s="10"/>
      <c r="U29" s="10"/>
      <c r="V29" s="10"/>
      <c r="W29" s="10"/>
      <c r="X29" s="10"/>
      <c r="Y29" s="10"/>
      <c r="Z29" s="10"/>
      <c r="AA29" s="10"/>
      <c r="AB29" s="10"/>
      <c r="AC29" s="10"/>
    </row>
    <row r="30" spans="1:29">
      <c r="A30" s="10"/>
      <c r="B30" s="11"/>
      <c r="C30" s="11"/>
      <c r="D30" s="11"/>
      <c r="E30" s="11"/>
      <c r="F30" s="11"/>
      <c r="G30" s="11"/>
      <c r="H30" s="10"/>
      <c r="I30" s="10"/>
      <c r="J30" s="10"/>
      <c r="K30" s="10"/>
      <c r="L30" s="10"/>
      <c r="M30" s="10"/>
      <c r="N30" s="10"/>
      <c r="O30" s="10"/>
      <c r="P30" s="10"/>
      <c r="Q30" s="10"/>
      <c r="R30" s="10"/>
      <c r="S30" s="10"/>
      <c r="T30" s="10"/>
      <c r="U30" s="10"/>
      <c r="V30" s="10"/>
      <c r="W30" s="10"/>
      <c r="X30" s="10"/>
      <c r="Y30" s="10"/>
      <c r="Z30" s="10"/>
      <c r="AA30" s="10"/>
      <c r="AB30" s="10"/>
      <c r="AC30" s="10"/>
    </row>
    <row r="31" spans="1:29">
      <c r="A31" s="10"/>
      <c r="B31" s="11"/>
      <c r="C31" s="11"/>
      <c r="D31" s="11"/>
      <c r="E31" s="11"/>
      <c r="F31" s="11"/>
      <c r="G31" s="11"/>
      <c r="H31" s="10"/>
      <c r="I31" s="10"/>
      <c r="J31" s="10"/>
      <c r="K31" s="10"/>
      <c r="L31" s="10"/>
      <c r="M31" s="10"/>
      <c r="N31" s="10"/>
      <c r="O31" s="10"/>
      <c r="P31" s="10"/>
      <c r="Q31" s="10"/>
      <c r="R31" s="10"/>
      <c r="S31" s="10"/>
      <c r="T31" s="10"/>
      <c r="U31" s="10"/>
      <c r="V31" s="10"/>
      <c r="W31" s="10"/>
      <c r="X31" s="10"/>
      <c r="Y31" s="10"/>
      <c r="Z31" s="10"/>
      <c r="AA31" s="10"/>
      <c r="AB31" s="10"/>
      <c r="AC31" s="10"/>
    </row>
    <row r="32" spans="1:29">
      <c r="A32" s="10"/>
      <c r="B32" s="11"/>
      <c r="C32" s="11"/>
      <c r="D32" s="11"/>
      <c r="E32" s="11"/>
      <c r="F32" s="11"/>
      <c r="G32" s="11"/>
      <c r="H32" s="10"/>
      <c r="I32" s="10"/>
      <c r="J32" s="10"/>
      <c r="K32" s="10"/>
      <c r="L32" s="10"/>
      <c r="M32" s="10"/>
      <c r="N32" s="10"/>
      <c r="O32" s="10"/>
      <c r="P32" s="10"/>
      <c r="Q32" s="10"/>
      <c r="R32" s="10"/>
      <c r="S32" s="10"/>
      <c r="T32" s="10"/>
      <c r="U32" s="10"/>
      <c r="V32" s="10"/>
      <c r="W32" s="10"/>
      <c r="X32" s="10"/>
      <c r="Y32" s="10"/>
      <c r="Z32" s="10"/>
      <c r="AA32" s="10"/>
      <c r="AB32" s="10"/>
      <c r="AC32" s="10"/>
    </row>
    <row r="33" spans="1:29">
      <c r="A33" s="10"/>
      <c r="B33" s="11"/>
      <c r="C33" s="11"/>
      <c r="D33" s="11"/>
      <c r="E33" s="11"/>
      <c r="F33" s="11"/>
      <c r="G33" s="11"/>
      <c r="H33" s="10"/>
      <c r="I33" s="10"/>
      <c r="J33" s="10"/>
      <c r="K33" s="10"/>
      <c r="L33" s="10"/>
      <c r="M33" s="10"/>
      <c r="N33" s="10"/>
      <c r="O33" s="10"/>
      <c r="P33" s="10"/>
      <c r="Q33" s="10"/>
      <c r="R33" s="10"/>
      <c r="S33" s="10"/>
      <c r="T33" s="10"/>
      <c r="U33" s="10"/>
      <c r="V33" s="10"/>
      <c r="W33" s="10"/>
      <c r="X33" s="10"/>
      <c r="Y33" s="10"/>
      <c r="Z33" s="10"/>
      <c r="AA33" s="10"/>
      <c r="AB33" s="10"/>
      <c r="AC33" s="10"/>
    </row>
    <row r="34" spans="1:29">
      <c r="A34" s="10"/>
      <c r="B34" s="11"/>
      <c r="C34" s="11"/>
      <c r="D34" s="11"/>
      <c r="E34" s="11"/>
      <c r="F34" s="11"/>
      <c r="G34" s="11"/>
      <c r="H34" s="10"/>
      <c r="I34" s="10"/>
      <c r="J34" s="10"/>
      <c r="K34" s="10"/>
      <c r="L34" s="10"/>
      <c r="M34" s="10"/>
      <c r="N34" s="10"/>
      <c r="O34" s="10"/>
      <c r="P34" s="10"/>
      <c r="Q34" s="10"/>
      <c r="R34" s="10"/>
      <c r="S34" s="10"/>
      <c r="T34" s="10"/>
      <c r="U34" s="10"/>
      <c r="V34" s="10"/>
      <c r="W34" s="10"/>
      <c r="X34" s="10"/>
      <c r="Y34" s="10"/>
      <c r="Z34" s="10"/>
      <c r="AA34" s="10"/>
      <c r="AB34" s="10"/>
      <c r="AC34" s="10"/>
    </row>
    <row r="35" spans="1:29">
      <c r="A35" s="10"/>
      <c r="B35" s="11"/>
      <c r="C35" s="11"/>
      <c r="D35" s="11"/>
      <c r="E35" s="11"/>
      <c r="F35" s="11"/>
      <c r="G35" s="11"/>
      <c r="H35" s="10"/>
      <c r="I35" s="10"/>
      <c r="J35" s="10"/>
      <c r="K35" s="10"/>
      <c r="L35" s="10"/>
      <c r="M35" s="10"/>
      <c r="N35" s="10"/>
      <c r="O35" s="10"/>
      <c r="P35" s="10"/>
      <c r="Q35" s="10"/>
      <c r="R35" s="10"/>
      <c r="S35" s="10"/>
      <c r="T35" s="10"/>
      <c r="U35" s="10"/>
      <c r="V35" s="10"/>
      <c r="W35" s="10"/>
      <c r="X35" s="10"/>
      <c r="Y35" s="10"/>
      <c r="Z35" s="10"/>
      <c r="AA35" s="10"/>
      <c r="AB35" s="10"/>
      <c r="AC35" s="10"/>
    </row>
    <row r="36" spans="1:29">
      <c r="A36" s="10"/>
      <c r="B36" s="11"/>
      <c r="C36" s="11"/>
      <c r="D36" s="11"/>
      <c r="E36" s="11"/>
      <c r="F36" s="11"/>
      <c r="G36" s="11"/>
      <c r="H36" s="10"/>
      <c r="I36" s="10"/>
      <c r="J36" s="10"/>
      <c r="K36" s="10"/>
      <c r="L36" s="10"/>
      <c r="M36" s="10"/>
      <c r="N36" s="10"/>
      <c r="O36" s="10"/>
      <c r="P36" s="10"/>
      <c r="Q36" s="10"/>
      <c r="R36" s="10"/>
      <c r="S36" s="10"/>
      <c r="T36" s="10"/>
      <c r="U36" s="10"/>
      <c r="V36" s="10"/>
      <c r="W36" s="10"/>
      <c r="X36" s="10"/>
      <c r="Y36" s="10"/>
      <c r="Z36" s="10"/>
      <c r="AA36" s="10"/>
      <c r="AB36" s="10"/>
      <c r="AC36" s="10"/>
    </row>
    <row r="37" spans="1:29">
      <c r="A37" s="10"/>
      <c r="B37" s="11"/>
      <c r="C37" s="11"/>
      <c r="D37" s="11"/>
      <c r="E37" s="11"/>
      <c r="F37" s="11"/>
      <c r="G37" s="11"/>
      <c r="H37" s="10"/>
      <c r="I37" s="10"/>
      <c r="J37" s="10"/>
      <c r="K37" s="10"/>
      <c r="L37" s="10"/>
      <c r="M37" s="10"/>
      <c r="N37" s="10"/>
      <c r="O37" s="10"/>
      <c r="P37" s="10"/>
      <c r="Q37" s="10"/>
      <c r="R37" s="10"/>
      <c r="S37" s="10"/>
      <c r="T37" s="10"/>
      <c r="U37" s="10"/>
      <c r="V37" s="10"/>
      <c r="W37" s="10"/>
      <c r="X37" s="10"/>
      <c r="Y37" s="10"/>
      <c r="Z37" s="10"/>
      <c r="AA37" s="10"/>
      <c r="AB37" s="10"/>
      <c r="AC37" s="10"/>
    </row>
    <row r="38" spans="1:29">
      <c r="A38" s="10"/>
      <c r="B38" s="11"/>
      <c r="C38" s="11"/>
      <c r="D38" s="11"/>
      <c r="E38" s="11"/>
      <c r="F38" s="11"/>
      <c r="G38" s="11"/>
      <c r="H38" s="10"/>
      <c r="I38" s="10"/>
      <c r="J38" s="10"/>
      <c r="K38" s="10"/>
      <c r="L38" s="10"/>
      <c r="M38" s="10"/>
      <c r="N38" s="10"/>
      <c r="O38" s="10"/>
      <c r="P38" s="10"/>
      <c r="Q38" s="10"/>
      <c r="R38" s="10"/>
      <c r="S38" s="10"/>
      <c r="T38" s="10"/>
      <c r="U38" s="10"/>
      <c r="V38" s="10"/>
      <c r="W38" s="10"/>
      <c r="X38" s="10"/>
      <c r="Y38" s="10"/>
      <c r="Z38" s="10"/>
      <c r="AA38" s="10"/>
      <c r="AB38" s="10"/>
      <c r="AC38" s="10"/>
    </row>
    <row r="39" spans="1:29">
      <c r="A39" s="10"/>
      <c r="B39" s="11"/>
      <c r="C39" s="11"/>
      <c r="D39" s="11"/>
      <c r="E39" s="11"/>
      <c r="F39" s="11"/>
      <c r="G39" s="11"/>
      <c r="H39" s="10"/>
      <c r="I39" s="10"/>
      <c r="J39" s="10"/>
      <c r="K39" s="10"/>
      <c r="L39" s="10"/>
      <c r="M39" s="10"/>
      <c r="N39" s="10"/>
      <c r="O39" s="10"/>
      <c r="P39" s="10"/>
      <c r="Q39" s="10"/>
      <c r="R39" s="10"/>
      <c r="S39" s="10"/>
      <c r="T39" s="10"/>
      <c r="U39" s="10"/>
      <c r="V39" s="10"/>
      <c r="W39" s="10"/>
      <c r="X39" s="10"/>
      <c r="Y39" s="10"/>
      <c r="Z39" s="10"/>
      <c r="AA39" s="10"/>
      <c r="AB39" s="10"/>
      <c r="AC39" s="10"/>
    </row>
    <row r="40" spans="1:29">
      <c r="A40" s="10"/>
      <c r="B40" s="11"/>
      <c r="C40" s="11"/>
      <c r="D40" s="11"/>
      <c r="E40" s="11"/>
      <c r="F40" s="11"/>
      <c r="G40" s="11"/>
      <c r="H40" s="10"/>
      <c r="I40" s="10"/>
      <c r="J40" s="10"/>
      <c r="K40" s="10"/>
      <c r="L40" s="10"/>
      <c r="M40" s="10"/>
      <c r="N40" s="10"/>
      <c r="O40" s="10"/>
      <c r="P40" s="10"/>
      <c r="Q40" s="10"/>
      <c r="R40" s="10"/>
      <c r="S40" s="10"/>
      <c r="T40" s="10"/>
      <c r="U40" s="10"/>
      <c r="V40" s="10"/>
      <c r="W40" s="10"/>
      <c r="X40" s="10"/>
      <c r="Y40" s="10"/>
      <c r="Z40" s="10"/>
      <c r="AA40" s="10"/>
      <c r="AB40" s="10"/>
      <c r="AC40" s="10"/>
    </row>
    <row r="41" spans="1:29">
      <c r="A41" s="10"/>
      <c r="B41" s="11"/>
      <c r="C41" s="11"/>
      <c r="D41" s="11"/>
      <c r="E41" s="11"/>
      <c r="F41" s="11"/>
      <c r="G41" s="11"/>
      <c r="H41" s="10"/>
      <c r="I41" s="10"/>
      <c r="J41" s="10"/>
      <c r="K41" s="10"/>
      <c r="L41" s="10"/>
      <c r="M41" s="10"/>
      <c r="N41" s="10"/>
      <c r="O41" s="10"/>
      <c r="P41" s="10"/>
      <c r="Q41" s="10"/>
      <c r="R41" s="10"/>
      <c r="S41" s="10"/>
      <c r="T41" s="10"/>
      <c r="U41" s="10"/>
      <c r="V41" s="10"/>
      <c r="W41" s="10"/>
      <c r="X41" s="10"/>
      <c r="Y41" s="10"/>
      <c r="Z41" s="10"/>
      <c r="AA41" s="10"/>
      <c r="AB41" s="10"/>
      <c r="AC41" s="10"/>
    </row>
    <row r="42" spans="1:29">
      <c r="A42" s="10"/>
      <c r="B42" s="11"/>
      <c r="C42" s="11"/>
      <c r="D42" s="11"/>
      <c r="E42" s="11"/>
      <c r="F42" s="11"/>
      <c r="G42" s="11"/>
      <c r="H42" s="10"/>
      <c r="I42" s="10"/>
      <c r="J42" s="10"/>
      <c r="K42" s="10"/>
      <c r="L42" s="10"/>
      <c r="M42" s="10"/>
      <c r="N42" s="10"/>
      <c r="O42" s="10"/>
      <c r="P42" s="10"/>
      <c r="Q42" s="10"/>
      <c r="R42" s="10"/>
      <c r="S42" s="10"/>
      <c r="T42" s="10"/>
      <c r="U42" s="10"/>
      <c r="V42" s="10"/>
      <c r="W42" s="10"/>
      <c r="X42" s="10"/>
      <c r="Y42" s="10"/>
      <c r="Z42" s="10"/>
      <c r="AA42" s="10"/>
      <c r="AB42" s="10"/>
      <c r="AC42" s="10"/>
    </row>
    <row r="43" spans="1:29">
      <c r="A43" s="10"/>
      <c r="B43" s="11"/>
      <c r="C43" s="11"/>
      <c r="D43" s="11"/>
      <c r="E43" s="11"/>
      <c r="F43" s="11"/>
      <c r="G43" s="11"/>
      <c r="H43" s="10"/>
      <c r="I43" s="10"/>
      <c r="J43" s="10"/>
      <c r="K43" s="10"/>
      <c r="L43" s="10"/>
      <c r="M43" s="10"/>
      <c r="N43" s="10"/>
      <c r="O43" s="10"/>
      <c r="P43" s="10"/>
      <c r="Q43" s="10"/>
      <c r="R43" s="10"/>
      <c r="S43" s="10"/>
      <c r="T43" s="10"/>
      <c r="U43" s="10"/>
      <c r="V43" s="10"/>
      <c r="W43" s="10"/>
      <c r="X43" s="10"/>
      <c r="Y43" s="10"/>
      <c r="Z43" s="10"/>
      <c r="AA43" s="10"/>
      <c r="AB43" s="10"/>
      <c r="AC43" s="10"/>
    </row>
    <row r="44" spans="1:29">
      <c r="A44" s="10"/>
      <c r="B44" s="11"/>
      <c r="C44" s="11"/>
      <c r="D44" s="11"/>
      <c r="E44" s="11"/>
      <c r="F44" s="11"/>
      <c r="G44" s="11"/>
      <c r="H44" s="10"/>
      <c r="I44" s="10"/>
      <c r="J44" s="10"/>
      <c r="K44" s="10"/>
      <c r="L44" s="10"/>
      <c r="M44" s="10"/>
      <c r="N44" s="10"/>
      <c r="O44" s="10"/>
      <c r="P44" s="10"/>
      <c r="Q44" s="10"/>
      <c r="R44" s="10"/>
      <c r="S44" s="10"/>
      <c r="T44" s="10"/>
      <c r="U44" s="10"/>
      <c r="V44" s="10"/>
      <c r="W44" s="10"/>
      <c r="X44" s="10"/>
      <c r="Y44" s="10"/>
      <c r="Z44" s="10"/>
      <c r="AA44" s="10"/>
      <c r="AB44" s="10"/>
      <c r="AC44" s="10"/>
    </row>
    <row r="45" spans="1:29">
      <c r="A45" s="10"/>
      <c r="B45" s="11"/>
      <c r="C45" s="11"/>
      <c r="D45" s="11"/>
      <c r="E45" s="11"/>
      <c r="F45" s="11"/>
      <c r="G45" s="11"/>
      <c r="H45" s="10"/>
      <c r="I45" s="10"/>
      <c r="J45" s="10"/>
      <c r="K45" s="10"/>
      <c r="L45" s="10"/>
      <c r="M45" s="10"/>
      <c r="N45" s="10"/>
      <c r="O45" s="10"/>
      <c r="P45" s="10"/>
      <c r="Q45" s="10"/>
      <c r="R45" s="10"/>
      <c r="S45" s="10"/>
      <c r="T45" s="10"/>
      <c r="U45" s="10"/>
      <c r="V45" s="10"/>
      <c r="W45" s="10"/>
      <c r="X45" s="10"/>
      <c r="Y45" s="10"/>
      <c r="Z45" s="10"/>
      <c r="AA45" s="10"/>
      <c r="AB45" s="10"/>
      <c r="AC45" s="10"/>
    </row>
    <row r="46" spans="1:29">
      <c r="A46" s="10"/>
      <c r="B46" s="11"/>
      <c r="C46" s="11"/>
      <c r="D46" s="11"/>
      <c r="E46" s="11"/>
      <c r="F46" s="11"/>
      <c r="G46" s="11"/>
      <c r="H46" s="10"/>
      <c r="I46" s="10"/>
      <c r="J46" s="10"/>
      <c r="K46" s="10"/>
      <c r="L46" s="10"/>
      <c r="M46" s="10"/>
      <c r="N46" s="10"/>
      <c r="O46" s="10"/>
      <c r="P46" s="10"/>
      <c r="Q46" s="10"/>
      <c r="R46" s="10"/>
      <c r="S46" s="10"/>
      <c r="T46" s="10"/>
      <c r="U46" s="10"/>
      <c r="V46" s="10"/>
      <c r="W46" s="10"/>
      <c r="X46" s="10"/>
      <c r="Y46" s="10"/>
      <c r="Z46" s="10"/>
      <c r="AA46" s="10"/>
      <c r="AB46" s="10"/>
      <c r="AC46" s="10"/>
    </row>
    <row r="47" spans="1:29">
      <c r="A47" s="10"/>
      <c r="B47" s="11"/>
      <c r="C47" s="11"/>
      <c r="D47" s="11"/>
      <c r="E47" s="11"/>
      <c r="F47" s="11"/>
      <c r="G47" s="11"/>
      <c r="H47" s="10"/>
      <c r="I47" s="10"/>
      <c r="J47" s="10"/>
      <c r="K47" s="10"/>
      <c r="L47" s="10"/>
      <c r="M47" s="10"/>
      <c r="N47" s="10"/>
      <c r="O47" s="10"/>
      <c r="P47" s="10"/>
      <c r="Q47" s="10"/>
      <c r="R47" s="10"/>
      <c r="S47" s="10"/>
      <c r="T47" s="10"/>
      <c r="U47" s="10"/>
      <c r="V47" s="10"/>
      <c r="W47" s="10"/>
      <c r="X47" s="10"/>
      <c r="Y47" s="10"/>
      <c r="Z47" s="10"/>
      <c r="AA47" s="10"/>
      <c r="AB47" s="10"/>
      <c r="AC47" s="10"/>
    </row>
    <row r="48" spans="1:29">
      <c r="A48" s="10"/>
      <c r="B48" s="11"/>
      <c r="C48" s="11"/>
      <c r="D48" s="11"/>
      <c r="E48" s="11"/>
      <c r="F48" s="11"/>
      <c r="G48" s="11"/>
      <c r="H48" s="10"/>
      <c r="I48" s="10"/>
      <c r="J48" s="10"/>
      <c r="K48" s="10"/>
      <c r="L48" s="10"/>
      <c r="M48" s="10"/>
      <c r="N48" s="10"/>
      <c r="O48" s="10"/>
      <c r="P48" s="10"/>
      <c r="Q48" s="10"/>
      <c r="R48" s="10"/>
      <c r="S48" s="10"/>
      <c r="T48" s="10"/>
      <c r="U48" s="10"/>
      <c r="V48" s="10"/>
      <c r="W48" s="10"/>
      <c r="X48" s="10"/>
      <c r="Y48" s="10"/>
      <c r="Z48" s="10"/>
      <c r="AA48" s="10"/>
      <c r="AB48" s="10"/>
      <c r="AC48" s="10"/>
    </row>
    <row r="49" spans="1:29">
      <c r="A49" s="10"/>
      <c r="B49" s="11"/>
      <c r="C49" s="11"/>
      <c r="D49" s="11"/>
      <c r="E49" s="11"/>
      <c r="F49" s="11"/>
      <c r="G49" s="11"/>
      <c r="H49" s="10"/>
      <c r="I49" s="10"/>
      <c r="J49" s="10"/>
      <c r="K49" s="10"/>
      <c r="L49" s="10"/>
      <c r="M49" s="10"/>
      <c r="N49" s="10"/>
      <c r="O49" s="10"/>
      <c r="P49" s="10"/>
      <c r="Q49" s="10"/>
      <c r="R49" s="10"/>
      <c r="S49" s="10"/>
      <c r="T49" s="10"/>
      <c r="U49" s="10"/>
      <c r="V49" s="10"/>
      <c r="W49" s="10"/>
      <c r="X49" s="10"/>
      <c r="Y49" s="10"/>
      <c r="Z49" s="10"/>
      <c r="AA49" s="10"/>
      <c r="AB49" s="10"/>
      <c r="AC49" s="10"/>
    </row>
    <row r="50" spans="1:29">
      <c r="A50" s="10"/>
      <c r="B50" s="11"/>
      <c r="C50" s="11"/>
      <c r="D50" s="11"/>
      <c r="E50" s="11"/>
      <c r="F50" s="11"/>
      <c r="G50" s="11"/>
      <c r="H50" s="10"/>
      <c r="I50" s="10"/>
      <c r="J50" s="10"/>
      <c r="K50" s="10"/>
      <c r="L50" s="10"/>
      <c r="M50" s="10"/>
      <c r="N50" s="10"/>
      <c r="O50" s="10"/>
      <c r="P50" s="10"/>
      <c r="Q50" s="10"/>
      <c r="R50" s="10"/>
      <c r="S50" s="10"/>
      <c r="T50" s="10"/>
      <c r="U50" s="10"/>
      <c r="V50" s="10"/>
      <c r="W50" s="10"/>
      <c r="X50" s="10"/>
      <c r="Y50" s="10"/>
      <c r="Z50" s="10"/>
      <c r="AA50" s="10"/>
      <c r="AB50" s="10"/>
      <c r="AC50" s="10"/>
    </row>
    <row r="51" spans="1:29">
      <c r="A51" s="10"/>
      <c r="B51" s="11"/>
      <c r="C51" s="11"/>
      <c r="D51" s="11"/>
      <c r="E51" s="11"/>
      <c r="F51" s="11"/>
      <c r="G51" s="11"/>
      <c r="H51" s="10"/>
      <c r="I51" s="10"/>
      <c r="J51" s="10"/>
      <c r="K51" s="10"/>
      <c r="L51" s="10"/>
      <c r="M51" s="10"/>
      <c r="N51" s="10"/>
      <c r="O51" s="10"/>
      <c r="P51" s="10"/>
      <c r="Q51" s="10"/>
      <c r="R51" s="10"/>
      <c r="S51" s="10"/>
      <c r="T51" s="10"/>
      <c r="U51" s="10"/>
      <c r="V51" s="10"/>
      <c r="W51" s="10"/>
      <c r="X51" s="10"/>
      <c r="Y51" s="10"/>
      <c r="Z51" s="10"/>
      <c r="AA51" s="10"/>
      <c r="AB51" s="10"/>
      <c r="AC51" s="10"/>
    </row>
    <row r="52" spans="1:29">
      <c r="A52" s="10"/>
      <c r="B52" s="11"/>
      <c r="C52" s="11"/>
      <c r="D52" s="11"/>
      <c r="E52" s="11"/>
      <c r="F52" s="11"/>
      <c r="G52" s="11"/>
      <c r="H52" s="10"/>
      <c r="I52" s="10"/>
      <c r="J52" s="10"/>
      <c r="K52" s="10"/>
      <c r="L52" s="10"/>
      <c r="M52" s="10"/>
      <c r="N52" s="10"/>
      <c r="O52" s="10"/>
      <c r="P52" s="10"/>
      <c r="Q52" s="10"/>
      <c r="R52" s="10"/>
      <c r="S52" s="10"/>
      <c r="T52" s="10"/>
      <c r="U52" s="10"/>
      <c r="V52" s="10"/>
      <c r="W52" s="10"/>
      <c r="X52" s="10"/>
      <c r="Y52" s="10"/>
      <c r="Z52" s="10"/>
      <c r="AA52" s="10"/>
      <c r="AB52" s="10"/>
      <c r="AC52" s="10"/>
    </row>
    <row r="53" spans="1:29">
      <c r="A53" s="10"/>
      <c r="B53" s="11"/>
      <c r="C53" s="11"/>
      <c r="D53" s="11"/>
      <c r="E53" s="11"/>
      <c r="F53" s="11"/>
      <c r="G53" s="11"/>
      <c r="H53" s="10"/>
      <c r="I53" s="10"/>
      <c r="J53" s="10"/>
      <c r="K53" s="10"/>
      <c r="L53" s="10"/>
      <c r="M53" s="10"/>
      <c r="N53" s="10"/>
      <c r="O53" s="10"/>
      <c r="P53" s="10"/>
      <c r="Q53" s="10"/>
      <c r="R53" s="10"/>
      <c r="S53" s="10"/>
      <c r="T53" s="10"/>
      <c r="U53" s="10"/>
      <c r="V53" s="10"/>
      <c r="W53" s="10"/>
      <c r="X53" s="10"/>
      <c r="Y53" s="10"/>
      <c r="Z53" s="10"/>
      <c r="AA53" s="10"/>
      <c r="AB53" s="10"/>
      <c r="AC53" s="10"/>
    </row>
    <row r="54" spans="1:29">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sheetData>
  <mergeCells count="18">
    <mergeCell ref="B10:G10"/>
    <mergeCell ref="B7:G9"/>
    <mergeCell ref="E6:G6"/>
    <mergeCell ref="B12:G12"/>
    <mergeCell ref="B14:G14"/>
    <mergeCell ref="B13:G13"/>
    <mergeCell ref="B26:G29"/>
    <mergeCell ref="B15:G15"/>
    <mergeCell ref="B16:G16"/>
    <mergeCell ref="B20:G20"/>
    <mergeCell ref="B21:G21"/>
    <mergeCell ref="B25:G25"/>
    <mergeCell ref="B18:G18"/>
    <mergeCell ref="B17:G17"/>
    <mergeCell ref="B19:G19"/>
    <mergeCell ref="B22:G22"/>
    <mergeCell ref="B23:G23"/>
    <mergeCell ref="B24:G2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1"/>
  <sheetViews>
    <sheetView showGridLines="0" workbookViewId="0">
      <selection activeCell="C4" sqref="C4"/>
    </sheetView>
  </sheetViews>
  <sheetFormatPr baseColWidth="10" defaultRowHeight="14" x14ac:dyDescent="0"/>
  <cols>
    <col min="1" max="1" width="4.33203125" customWidth="1"/>
    <col min="2" max="2" width="20.1640625" customWidth="1"/>
    <col min="3" max="3" width="26" bestFit="1" customWidth="1"/>
    <col min="4" max="4" width="13.6640625" customWidth="1"/>
    <col min="5" max="5" width="17.1640625" customWidth="1"/>
    <col min="6" max="6" width="16.5" customWidth="1"/>
    <col min="7" max="7" width="13" bestFit="1" customWidth="1"/>
    <col min="9" max="9" width="4.33203125" customWidth="1"/>
    <col min="11" max="11" width="13.5" bestFit="1" customWidth="1"/>
  </cols>
  <sheetData>
    <row r="2" spans="2:7" ht="20">
      <c r="B2" s="191" t="s">
        <v>183</v>
      </c>
      <c r="C2" s="191"/>
      <c r="D2" s="191"/>
      <c r="E2" s="191"/>
      <c r="F2" s="191"/>
      <c r="G2" s="191"/>
    </row>
    <row r="4" spans="2:7">
      <c r="B4" s="34" t="s">
        <v>78</v>
      </c>
      <c r="C4" s="47">
        <f>'CO2-Rechner'!E3</f>
        <v>100000</v>
      </c>
    </row>
    <row r="5" spans="2:7">
      <c r="B5" s="43"/>
      <c r="C5" s="44"/>
    </row>
    <row r="6" spans="2:7" ht="42">
      <c r="B6" s="46" t="s">
        <v>82</v>
      </c>
      <c r="C6" s="47">
        <f>Wegelängen!I15</f>
        <v>3.5</v>
      </c>
    </row>
    <row r="7" spans="2:7">
      <c r="B7" s="21"/>
    </row>
    <row r="8" spans="2:7" ht="28">
      <c r="B8" s="35"/>
      <c r="C8" s="29" t="s">
        <v>9</v>
      </c>
      <c r="D8" s="29" t="s">
        <v>10</v>
      </c>
      <c r="E8" s="29" t="s">
        <v>11</v>
      </c>
      <c r="F8" s="29" t="s">
        <v>12</v>
      </c>
      <c r="G8" s="30" t="s">
        <v>13</v>
      </c>
    </row>
    <row r="9" spans="2:7">
      <c r="B9" s="39" t="s">
        <v>79</v>
      </c>
      <c r="C9" s="49">
        <f>(IF('CO2-Rechner'!$H$8=100,'CO2-Rechner'!C8,'Modal Split'!B13))/100</f>
        <v>0.28000000000000003</v>
      </c>
      <c r="D9" s="49">
        <f>(IF('CO2-Rechner'!$H$8=100,'CO2-Rechner'!D8,'Modal Split'!C13))/100</f>
        <v>0.13</v>
      </c>
      <c r="E9" s="49">
        <f>(IF('CO2-Rechner'!$H$8=100,'CO2-Rechner'!E8,'Modal Split'!D13))/100</f>
        <v>0.27</v>
      </c>
      <c r="F9" s="49">
        <f>(IF('CO2-Rechner'!$H$8=100,'CO2-Rechner'!F8,'Modal Split'!E13))/100</f>
        <v>0.24</v>
      </c>
      <c r="G9" s="54">
        <f>(IF('CO2-Rechner'!$H$8=100,'CO2-Rechner'!G8,'Modal Split'!F13))/100</f>
        <v>0.08</v>
      </c>
    </row>
    <row r="10" spans="2:7">
      <c r="B10" s="45"/>
      <c r="C10" s="55"/>
      <c r="D10" s="55"/>
      <c r="E10" s="55"/>
      <c r="F10" s="55"/>
      <c r="G10" s="55"/>
    </row>
    <row r="11" spans="2:7" ht="42.75" customHeight="1">
      <c r="B11" s="45" t="s">
        <v>88</v>
      </c>
      <c r="C11" s="193" t="s">
        <v>99</v>
      </c>
      <c r="D11" s="193"/>
      <c r="E11" s="193"/>
      <c r="F11" s="193"/>
      <c r="G11" s="193"/>
    </row>
    <row r="12" spans="2:7">
      <c r="B12" s="21"/>
    </row>
    <row r="13" spans="2:7" ht="28">
      <c r="B13" s="36"/>
      <c r="C13" s="32" t="s">
        <v>65</v>
      </c>
      <c r="D13" s="32" t="s">
        <v>66</v>
      </c>
      <c r="E13" s="32" t="s">
        <v>19</v>
      </c>
      <c r="F13" s="32" t="s">
        <v>20</v>
      </c>
      <c r="G13" s="33" t="s">
        <v>21</v>
      </c>
    </row>
    <row r="14" spans="2:7" ht="28">
      <c r="B14" s="37" t="s">
        <v>80</v>
      </c>
      <c r="C14" s="38">
        <f>Wegelängen!D15</f>
        <v>1.3217496962332929</v>
      </c>
      <c r="D14" s="38">
        <f>Wegelängen!E15</f>
        <v>3.0211421628189554</v>
      </c>
      <c r="E14" s="38">
        <f>Wegelängen!F15</f>
        <v>20.10947752126367</v>
      </c>
      <c r="F14" s="38">
        <f>Wegelängen!G15</f>
        <v>17.2771567436209</v>
      </c>
      <c r="G14" s="40">
        <f>Wegelängen!H15</f>
        <v>13.878371810449575</v>
      </c>
    </row>
    <row r="15" spans="2:7">
      <c r="B15" s="45"/>
      <c r="C15" s="55"/>
      <c r="D15" s="55"/>
      <c r="E15" s="55"/>
      <c r="F15" s="55"/>
      <c r="G15" s="55"/>
    </row>
    <row r="16" spans="2:7" ht="78" customHeight="1">
      <c r="B16" s="45" t="s">
        <v>89</v>
      </c>
      <c r="C16" s="193" t="s">
        <v>90</v>
      </c>
      <c r="D16" s="193"/>
      <c r="E16" s="193"/>
      <c r="F16" s="193"/>
      <c r="G16" s="193"/>
    </row>
    <row r="18" spans="2:8" ht="28">
      <c r="B18" s="36"/>
      <c r="C18" s="32" t="s">
        <v>65</v>
      </c>
      <c r="D18" s="32" t="s">
        <v>66</v>
      </c>
      <c r="E18" s="32" t="s">
        <v>19</v>
      </c>
      <c r="F18" s="32" t="s">
        <v>20</v>
      </c>
      <c r="G18" s="33" t="s">
        <v>21</v>
      </c>
    </row>
    <row r="19" spans="2:8" ht="16">
      <c r="B19" s="37" t="s">
        <v>81</v>
      </c>
      <c r="C19" s="41">
        <f>'CO2'!B2</f>
        <v>0</v>
      </c>
      <c r="D19" s="41">
        <f>'CO2'!B3</f>
        <v>0</v>
      </c>
      <c r="E19" s="41">
        <f>'CO2'!B4</f>
        <v>73.333333333333329</v>
      </c>
      <c r="F19" s="41">
        <f>'CO2'!B5</f>
        <v>204.6</v>
      </c>
      <c r="G19" s="42">
        <f>'CO2'!B6</f>
        <v>11.007999999999999</v>
      </c>
    </row>
    <row r="21" spans="2:8" ht="30">
      <c r="B21" s="31" t="s">
        <v>91</v>
      </c>
      <c r="C21" s="185" t="s">
        <v>92</v>
      </c>
      <c r="D21" s="185"/>
      <c r="E21" s="185"/>
      <c r="F21" s="185"/>
      <c r="G21" s="185"/>
    </row>
    <row r="23" spans="2:8" ht="20">
      <c r="B23" s="192" t="s">
        <v>83</v>
      </c>
      <c r="C23" s="192"/>
      <c r="D23" s="192"/>
      <c r="E23" s="192"/>
      <c r="F23" s="192"/>
      <c r="G23" s="192"/>
    </row>
    <row r="25" spans="2:8">
      <c r="B25" s="28" t="s">
        <v>84</v>
      </c>
      <c r="C25" s="28"/>
    </row>
    <row r="26" spans="2:8" ht="28">
      <c r="B26" s="48" t="s">
        <v>85</v>
      </c>
      <c r="C26" s="32" t="s">
        <v>65</v>
      </c>
      <c r="D26" s="32" t="s">
        <v>66</v>
      </c>
      <c r="E26" s="32" t="s">
        <v>19</v>
      </c>
      <c r="F26" s="32" t="s">
        <v>20</v>
      </c>
      <c r="G26" s="33" t="s">
        <v>21</v>
      </c>
    </row>
    <row r="27" spans="2:8">
      <c r="B27" s="51">
        <f>C4*C6</f>
        <v>350000</v>
      </c>
      <c r="C27" s="52">
        <f>$B$27*C9</f>
        <v>98000.000000000015</v>
      </c>
      <c r="D27" s="52">
        <f>$B$27*D9</f>
        <v>45500</v>
      </c>
      <c r="E27" s="52">
        <f>$B$27*E9</f>
        <v>94500</v>
      </c>
      <c r="F27" s="52">
        <f>$B$27*F9</f>
        <v>84000</v>
      </c>
      <c r="G27" s="53">
        <f>$B$27*G9</f>
        <v>28000</v>
      </c>
      <c r="H27" s="50"/>
    </row>
    <row r="28" spans="2:8">
      <c r="B28" s="56"/>
      <c r="C28" s="56"/>
      <c r="D28" s="56"/>
      <c r="E28" s="56"/>
      <c r="F28" s="56"/>
      <c r="G28" s="56"/>
      <c r="H28" s="50"/>
    </row>
    <row r="29" spans="2:8" ht="42">
      <c r="B29" s="31" t="s">
        <v>93</v>
      </c>
      <c r="C29" s="190" t="s">
        <v>96</v>
      </c>
      <c r="D29" s="190"/>
      <c r="E29" s="190"/>
      <c r="F29" s="190"/>
      <c r="G29" s="190"/>
      <c r="H29" s="50"/>
    </row>
    <row r="31" spans="2:8">
      <c r="B31" s="28" t="s">
        <v>87</v>
      </c>
    </row>
    <row r="32" spans="2:8" ht="28">
      <c r="B32" s="48" t="s">
        <v>85</v>
      </c>
      <c r="C32" s="32" t="s">
        <v>65</v>
      </c>
      <c r="D32" s="32" t="s">
        <v>66</v>
      </c>
      <c r="E32" s="32" t="s">
        <v>19</v>
      </c>
      <c r="F32" s="32" t="s">
        <v>20</v>
      </c>
      <c r="G32" s="33" t="s">
        <v>21</v>
      </c>
    </row>
    <row r="33" spans="2:7">
      <c r="B33" s="51">
        <f>SUM(C33:G33)</f>
        <v>4007214.6415552855</v>
      </c>
      <c r="C33" s="52">
        <f>C27*C14</f>
        <v>129531.47023086272</v>
      </c>
      <c r="D33" s="52">
        <f t="shared" ref="D33:G33" si="0">D27*D14</f>
        <v>137461.96840826247</v>
      </c>
      <c r="E33" s="52">
        <f t="shared" si="0"/>
        <v>1900345.625759417</v>
      </c>
      <c r="F33" s="52">
        <f t="shared" si="0"/>
        <v>1451281.1664641555</v>
      </c>
      <c r="G33" s="53">
        <f t="shared" si="0"/>
        <v>388594.41069258814</v>
      </c>
    </row>
    <row r="34" spans="2:7">
      <c r="B34" s="56"/>
      <c r="C34" s="56"/>
      <c r="D34" s="56"/>
      <c r="E34" s="56"/>
      <c r="F34" s="56"/>
      <c r="G34" s="56"/>
    </row>
    <row r="35" spans="2:7" ht="45" customHeight="1">
      <c r="B35" s="31" t="s">
        <v>94</v>
      </c>
      <c r="C35" s="190" t="s">
        <v>97</v>
      </c>
      <c r="D35" s="190"/>
      <c r="E35" s="190"/>
      <c r="F35" s="190"/>
      <c r="G35" s="190"/>
    </row>
    <row r="37" spans="2:7" ht="16">
      <c r="B37" s="28" t="s">
        <v>86</v>
      </c>
    </row>
    <row r="38" spans="2:7" ht="28">
      <c r="B38" s="48" t="s">
        <v>85</v>
      </c>
      <c r="C38" s="32" t="s">
        <v>65</v>
      </c>
      <c r="D38" s="32" t="s">
        <v>66</v>
      </c>
      <c r="E38" s="32" t="s">
        <v>19</v>
      </c>
      <c r="F38" s="32" t="s">
        <v>20</v>
      </c>
      <c r="G38" s="33" t="s">
        <v>21</v>
      </c>
    </row>
    <row r="39" spans="2:7">
      <c r="B39" s="51">
        <f>SUM(C39:G39)</f>
        <v>440.56845315382748</v>
      </c>
      <c r="C39" s="53">
        <f t="shared" ref="C39:D39" si="1">C33*C19/1000</f>
        <v>0</v>
      </c>
      <c r="D39" s="53">
        <f t="shared" si="1"/>
        <v>0</v>
      </c>
      <c r="E39" s="53">
        <f>E33*E19/1000000</f>
        <v>139.35867922235724</v>
      </c>
      <c r="F39" s="53">
        <f>F33*F19/1000000</f>
        <v>296.93212665856623</v>
      </c>
      <c r="G39" s="53">
        <f>G33*G19/1000000</f>
        <v>4.2776472729040096</v>
      </c>
    </row>
    <row r="41" spans="2:7" ht="48" customHeight="1">
      <c r="B41" s="31" t="s">
        <v>95</v>
      </c>
      <c r="C41" s="190" t="s">
        <v>98</v>
      </c>
      <c r="D41" s="190"/>
      <c r="E41" s="190"/>
      <c r="F41" s="190"/>
      <c r="G41" s="190"/>
    </row>
  </sheetData>
  <mergeCells count="8">
    <mergeCell ref="C29:G29"/>
    <mergeCell ref="C35:G35"/>
    <mergeCell ref="C41:G41"/>
    <mergeCell ref="B2:G2"/>
    <mergeCell ref="B23:G23"/>
    <mergeCell ref="C11:G11"/>
    <mergeCell ref="C16:G16"/>
    <mergeCell ref="C21:G21"/>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election activeCell="K19" sqref="K19"/>
    </sheetView>
  </sheetViews>
  <sheetFormatPr baseColWidth="10" defaultRowHeight="14" x14ac:dyDescent="0"/>
  <cols>
    <col min="1" max="1" width="26" customWidth="1"/>
  </cols>
  <sheetData>
    <row r="1" spans="1:6" ht="18">
      <c r="A1" s="135" t="s">
        <v>29</v>
      </c>
    </row>
    <row r="3" spans="1:6">
      <c r="A3" t="s">
        <v>30</v>
      </c>
    </row>
    <row r="4" spans="1:6">
      <c r="A4" t="s">
        <v>31</v>
      </c>
      <c r="B4">
        <v>20000</v>
      </c>
    </row>
    <row r="5" spans="1:6">
      <c r="A5" t="s">
        <v>43</v>
      </c>
      <c r="B5" t="str">
        <f>IF($B$4&lt;2000,"7",(IF($B$4&lt;5000,"6",(IF($B$4&lt;20000,"5",(IF($B$4&lt;50000,"4",(IF($B$4&lt;100000,"3",(IF($B$4&lt;500000,"2","1")))))))))))</f>
        <v>4</v>
      </c>
    </row>
    <row r="10" spans="1:6">
      <c r="A10" t="s">
        <v>37</v>
      </c>
    </row>
    <row r="11" spans="1:6">
      <c r="B11" s="194" t="s">
        <v>47</v>
      </c>
      <c r="C11" s="194"/>
      <c r="D11" s="194"/>
      <c r="E11" s="194"/>
      <c r="F11" s="194"/>
    </row>
    <row r="12" spans="1:6">
      <c r="B12" t="s">
        <v>17</v>
      </c>
      <c r="C12" t="s">
        <v>18</v>
      </c>
      <c r="D12" t="s">
        <v>19</v>
      </c>
      <c r="E12" t="s">
        <v>33</v>
      </c>
      <c r="F12" t="s">
        <v>34</v>
      </c>
    </row>
    <row r="13" spans="1:6">
      <c r="A13" t="s">
        <v>35</v>
      </c>
      <c r="B13">
        <f>VLOOKUP(4,'Modal Split'!$A$3:$F$9,2,FALSE)</f>
        <v>22.6</v>
      </c>
      <c r="C13">
        <f>VLOOKUP(4,'Modal Split'!$A$3:$F$9,3,FALSE)</f>
        <v>12.4</v>
      </c>
      <c r="D13">
        <f>VLOOKUP(4,'Modal Split'!$A$3:$F$9,4,FALSE)</f>
        <v>5.9</v>
      </c>
      <c r="E13">
        <f>VLOOKUP(4,'Modal Split'!$A$3:$F$9,5,FALSE)</f>
        <v>43.1</v>
      </c>
      <c r="F13">
        <f>VLOOKUP(4,'Modal Split'!$A$3:$F$9,6,FALSE)</f>
        <v>16</v>
      </c>
    </row>
    <row r="14" spans="1:6">
      <c r="A14" t="s">
        <v>36</v>
      </c>
      <c r="B14" s="5">
        <f>IF($B$4&lt;2000,VLOOKUP(7,'Modal Split'!$A$3:$F$9,2,FALSE),(IF($B$4&lt;5000,VLOOKUP(6,'Modal Split'!$A$3:$F$9,2,FALSE),(IF($B$4&lt;20000,VLOOKUP(5,'Modal Split'!$A$3:$F$9,2,FALSE),(IF($B$4&lt;50000,VLOOKUP(4,'Modal Split'!$A$3:$F$9,2,FALSE),(IF($B$4&lt;100000,VLOOKUP(3,'Modal Split'!$A$3:$F$9,2,FALSE),(IF($B$4&lt;500000,VLOOKUP(2,'Modal Split'!$A$3:$F$9,2,FALSE),VLOOKUP(1,'Modal Split'!$A$3:$F$9,2,FALSE))))))))))))</f>
        <v>22.6</v>
      </c>
      <c r="C14">
        <f>IF($B$4&lt;2000,VLOOKUP(7,'Modal Split'!$A$3:$F$9,3,FALSE),(IF($B$4&lt;5000,VLOOKUP(6,'Modal Split'!$A$3:$F$9,3,FALSE),(IF($B$4&lt;20000,VLOOKUP(5,'Modal Split'!$A$3:$F$9,3,FALSE),(IF($B$4&lt;50000,VLOOKUP(4,'Modal Split'!$A$3:$F$9,3,FALSE),(IF($B$4&lt;100000,VLOOKUP(3,'Modal Split'!$A$3:$F$9,3,FALSE),(IF($B$4&lt;500000,VLOOKUP(2,'Modal Split'!$A$3:$F$9,3,FALSE),VLOOKUP(1,'Modal Split'!$A$3:$F$9,3,FALSE))))))))))))</f>
        <v>12.4</v>
      </c>
      <c r="D14">
        <f>IF($B$4&lt;2000,VLOOKUP(7,'Modal Split'!$A$3:$F$9,4,FALSE),(IF($B$4&lt;5000,VLOOKUP(6,'Modal Split'!$A$3:$F$9,4,FALSE),(IF($B$4&lt;20000,VLOOKUP(5,'Modal Split'!$A$3:$F$9,4,FALSE),(IF($B$4&lt;50000,VLOOKUP(4,'Modal Split'!$A$3:$F$9,4,FALSE),(IF($B$4&lt;100000,VLOOKUP(3,'Modal Split'!$A$3:$F$9,4,FALSE),(IF($B$4&lt;500000,VLOOKUP(2,'Modal Split'!$A$3:$F$9,4,FALSE),VLOOKUP(1,'Modal Split'!$A$3:$F$9,4,FALSE))))))))))))</f>
        <v>5.9</v>
      </c>
      <c r="E14">
        <f>IF($B$4&lt;2000,VLOOKUP(7,'Modal Split'!$A$3:$F$9,5,FALSE),(IF($B$4&lt;5000,VLOOKUP(6,'Modal Split'!$A$3:$F$9,5,FALSE),(IF($B$4&lt;20000,VLOOKUP(5,'Modal Split'!$A$3:$F$9,5,FALSE),(IF($B$4&lt;50000,VLOOKUP(4,'Modal Split'!$A$3:$F$9,5,FALSE),(IF($B$4&lt;100000,VLOOKUP(3,'Modal Split'!$A$3:$F$9,5,FALSE),(IF($B$4&lt;500000,VLOOKUP(2,'Modal Split'!$A$3:$F$9,5,FALSE),VLOOKUP(1,'Modal Split'!$A$3:$F$9,5,FALSE))))))))))))</f>
        <v>43.1</v>
      </c>
      <c r="F14">
        <f>IF($B$4&lt;2000,VLOOKUP(7,'Modal Split'!$A$3:$F$9,6,FALSE),(IF($B$4&lt;5000,VLOOKUP(6,'Modal Split'!$A$3:$F$9,6,FALSE),(IF($B$4&lt;20000,VLOOKUP(5,'Modal Split'!$A$3:$F$9,6,FALSE),(IF($B$4&lt;50000,VLOOKUP(4,'Modal Split'!$A$3:$F$9,6,FALSE),(IF($B$4&lt;100000,VLOOKUP(3,'Modal Split'!$A$3:$F$9,6,FALSE),(IF($B$4&lt;500000,VLOOKUP(2,'Modal Split'!$A$3:$F$9,6,FALSE),VLOOKUP(1,'Modal Split'!$A$3:$F$9,6,FALSE))))))))))))</f>
        <v>16</v>
      </c>
    </row>
    <row r="15" spans="1:6">
      <c r="B15" s="194" t="s">
        <v>46</v>
      </c>
      <c r="C15" s="194"/>
      <c r="D15" s="194"/>
      <c r="E15" s="194"/>
      <c r="F15" s="194"/>
    </row>
    <row r="16" spans="1:6">
      <c r="A16" t="s">
        <v>35</v>
      </c>
      <c r="B16" s="4">
        <f>VLOOKUP(4,Wegelängen!$A$3:$I$9,4,FALSE)</f>
        <v>1.3217496962332929</v>
      </c>
      <c r="C16" s="4">
        <f>VLOOKUP(4,Wegelängen!$A$3:$I$9,5,FALSE)</f>
        <v>3.0211421628189554</v>
      </c>
      <c r="D16" s="4">
        <f>VLOOKUP(4,Wegelängen!$A$3:$I$9,6,FALSE)</f>
        <v>20.10947752126367</v>
      </c>
      <c r="E16" s="4">
        <f>VLOOKUP(4,Wegelängen!$A$3:$I$9,7,FALSE)</f>
        <v>17.2771567436209</v>
      </c>
      <c r="F16" s="4">
        <f>VLOOKUP(4,Wegelängen!$A$3:$I$9,8,FALSE)</f>
        <v>13.878371810449575</v>
      </c>
    </row>
    <row r="17" spans="1:6">
      <c r="A17" t="s">
        <v>36</v>
      </c>
      <c r="B17" s="4">
        <f>IF($B$4&lt;2000,VLOOKUP(7,Wegelängen!$A$3:$I$9,4,FALSE),(IF($B$4&lt;5000,VLOOKUP(6,Wegelängen!$A$3:$I$9,4,FALSE),(IF($B$4&lt;20000,VLOOKUP(5,Wegelängen!$A$3:$I$9,4,FALSE),(IF($B$4&lt;50000,VLOOKUP(4,Wegelängen!$A$3:$I$9,4,FALSE),(IF($B$4&lt;100000,VLOOKUP(3,Wegelängen!$A$3:$I$9,4,FALSE),(IF($B$4&lt;500000,VLOOKUP(2,Wegelängen!$A$3:$I$9,4,FALSE),VLOOKUP(1,Wegelängen!$A$3:$I$9,4,FALSE))))))))))))</f>
        <v>1.3217496962332929</v>
      </c>
      <c r="C17" s="4">
        <f>IF($B$4&lt;2000,VLOOKUP(7,Wegelängen!$A$3:$I$9,5,FALSE),(IF($B$4&lt;5000,VLOOKUP(6,Wegelängen!$A$3:$I$9,5,FALSE),(IF($B$4&lt;20000,VLOOKUP(5,Wegelängen!$A$3:$I$9,5,FALSE),(IF($B$4&lt;50000,VLOOKUP(4,Wegelängen!$A$3:$I$9,5,FALSE),(IF($B$4&lt;100000,VLOOKUP(3,Wegelängen!$A$3:$I$9,5,FALSE),(IF($B$4&lt;500000,VLOOKUP(2,Wegelängen!$A$3:$I$9,5,FALSE),VLOOKUP(1,Wegelängen!$A$3:$I$9,5,FALSE))))))))))))</f>
        <v>3.0211421628189554</v>
      </c>
      <c r="D17" s="4">
        <f>IF($B$4&lt;2000,VLOOKUP(7,Wegelängen!$A$3:$I$9,6,FALSE),(IF($B$4&lt;5000,VLOOKUP(6,Wegelängen!$A$3:$I$9,6,FALSE),(IF($B$4&lt;20000,VLOOKUP(5,Wegelängen!$A$3:$I$9,6,FALSE),(IF($B$4&lt;50000,VLOOKUP(4,Wegelängen!$A$3:$I$9,6,FALSE),(IF($B$4&lt;100000,VLOOKUP(3,Wegelängen!$A$3:$I$9,6,FALSE),(IF($B$4&lt;500000,VLOOKUP(2,Wegelängen!$A$3:$I$9,6,FALSE),VLOOKUP(1,Wegelängen!$A$3:$I$9,6,FALSE))))))))))))</f>
        <v>20.10947752126367</v>
      </c>
      <c r="E17" s="4">
        <f>IF($B$4&lt;2000,VLOOKUP(7,Wegelängen!$A$3:$I$9,7,FALSE),(IF($B$4&lt;5000,VLOOKUP(6,Wegelängen!$A$3:$I$9,7,FALSE),(IF($B$4&lt;20000,VLOOKUP(5,Wegelängen!$A$3:$I$9,7,FALSE),(IF($B$4&lt;50000,VLOOKUP(4,Wegelängen!$A$3:$I$9,7,FALSE),(IF($B$4&lt;100000,VLOOKUP(3,Wegelängen!$A$3:$I$9,7,FALSE),(IF($B$4&lt;500000,VLOOKUP(2,Wegelängen!$A$3:$I$9,7,FALSE),VLOOKUP(1,Wegelängen!$A$3:$I$9,7,FALSE))))))))))))</f>
        <v>17.2771567436209</v>
      </c>
      <c r="F17" s="4">
        <f>IF($B$4&lt;2000,VLOOKUP(7,Wegelängen!$A$3:$I$9,8,FALSE),(IF($B$4&lt;5000,VLOOKUP(6,Wegelängen!$A$3:$I$9,8,FALSE),(IF($B$4&lt;20000,VLOOKUP(5,Wegelängen!$A$3:$I$9,8,FALSE),(IF($B$4&lt;50000,VLOOKUP(4,Wegelängen!$A$3:$I$9,8,FALSE),(IF($B$4&lt;100000,VLOOKUP(3,Wegelängen!$A$3:$I$9,8,FALSE),(IF($B$4&lt;500000,VLOOKUP(2,Wegelängen!$A$3:$I$9,8,FALSE),VLOOKUP(1,Wegelängen!$A$3:$I$9,8,FALSE))))))))))))</f>
        <v>13.878371810449575</v>
      </c>
    </row>
    <row r="18" spans="1:6">
      <c r="B18" s="194" t="s">
        <v>45</v>
      </c>
      <c r="C18" s="194"/>
      <c r="D18" s="194"/>
      <c r="E18" s="194"/>
      <c r="F18" s="194"/>
    </row>
    <row r="19" spans="1:6">
      <c r="A19" t="s">
        <v>39</v>
      </c>
      <c r="B19">
        <f>'CO2'!B2</f>
        <v>0</v>
      </c>
      <c r="C19">
        <f>'CO2'!B3</f>
        <v>0</v>
      </c>
      <c r="D19">
        <f>'CO2'!B4</f>
        <v>73.333333333333329</v>
      </c>
      <c r="E19">
        <f>'CO2'!B5</f>
        <v>204.6</v>
      </c>
      <c r="F19">
        <f>'CO2'!B6</f>
        <v>11.007999999999999</v>
      </c>
    </row>
    <row r="21" spans="1:6">
      <c r="B21" t="s">
        <v>8</v>
      </c>
    </row>
    <row r="22" spans="1:6">
      <c r="A22" t="s">
        <v>35</v>
      </c>
      <c r="B22">
        <f>VLOOKUP(4,Wegelängen!A3:I9,9,FALSE)</f>
        <v>3.5</v>
      </c>
    </row>
    <row r="23" spans="1:6">
      <c r="A23" t="s">
        <v>36</v>
      </c>
      <c r="B23">
        <f>IF($B$4&lt;2000,VLOOKUP(7,Wegelängen!$A$3:$I$9,9,FALSE),(IF($B$4&lt;5000,VLOOKUP(6,Wegelängen!$A$3:$I$9,9,FALSE),(IF($B$4&lt;20000,VLOOKUP(5,Wegelängen!$A$3:$I$9,9,FALSE),(IF($B$4&lt;50000,VLOOKUP(4,Wegelängen!$A$3:$I$9,9,FALSE),(IF($B$4&lt;100000,VLOOKUP(3,Wegelängen!$A$3:$I$9,9,FALSE),(IF($B$4&lt;500000,VLOOKUP(2,Wegelängen!$A$3:$I$9,9,FALSE),VLOOKUP(1,Wegelängen!$A$3:$I$9,9,FALSE))))))))))))</f>
        <v>3.5</v>
      </c>
    </row>
    <row r="25" spans="1:6">
      <c r="A25" t="s">
        <v>40</v>
      </c>
    </row>
    <row r="26" spans="1:6">
      <c r="B26" s="194" t="s">
        <v>42</v>
      </c>
      <c r="C26" s="194"/>
      <c r="D26" s="194"/>
      <c r="E26" s="194"/>
      <c r="F26" s="194"/>
    </row>
    <row r="27" spans="1:6" ht="61.5" customHeight="1">
      <c r="B27" s="185" t="s">
        <v>50</v>
      </c>
      <c r="C27" s="185"/>
      <c r="D27" s="185"/>
      <c r="E27" s="185"/>
      <c r="F27" s="185"/>
    </row>
    <row r="28" spans="1:6">
      <c r="B28" s="7" t="s">
        <v>41</v>
      </c>
      <c r="C28" s="2"/>
      <c r="D28" s="2"/>
      <c r="E28" s="2"/>
      <c r="F28" s="2"/>
    </row>
    <row r="29" spans="1:6">
      <c r="A29" t="s">
        <v>38</v>
      </c>
      <c r="B29" s="9">
        <f>$B$4*$B$22</f>
        <v>70000</v>
      </c>
      <c r="C29" s="2"/>
      <c r="D29" s="2"/>
      <c r="E29" s="2"/>
      <c r="F29" s="2"/>
    </row>
    <row r="30" spans="1:6">
      <c r="A30" t="s">
        <v>39</v>
      </c>
      <c r="B30">
        <f>IF($B$4&lt;2000,VLOOKUP(7,Wegelängen!$A$3:$I$9,9,FALSE),(IF($B$4&lt;5000,VLOOKUP(6,Wegelängen!$A$3:$I$9,9,FALSE),(IF($B$4&lt;20000,VLOOKUP(5,Wegelängen!$A$3:$I$9,9,FALSE),(IF($B$4&lt;50000,VLOOKUP(4,Wegelängen!$A$3:$I$9,9,FALSE),(IF($B$4&lt;100000,VLOOKUP(3,Wegelängen!$A$3:$I$9,9,FALSE),(IF($B$4&lt;500000,VLOOKUP(2,Wegelängen!$A$3:$I$9,9,FALSE),VLOOKUP(1,Wegelängen!$A$3:$I$9,9,FALSE))))))))))))*$B$4</f>
        <v>70000</v>
      </c>
      <c r="C30" s="2"/>
      <c r="D30" s="2"/>
      <c r="E30" s="2"/>
      <c r="F30" s="2"/>
    </row>
    <row r="31" spans="1:6">
      <c r="B31" t="s">
        <v>17</v>
      </c>
      <c r="C31" t="s">
        <v>18</v>
      </c>
      <c r="D31" t="s">
        <v>19</v>
      </c>
      <c r="E31" t="s">
        <v>33</v>
      </c>
      <c r="F31" t="s">
        <v>34</v>
      </c>
    </row>
    <row r="32" spans="1:6">
      <c r="A32" t="s">
        <v>38</v>
      </c>
      <c r="B32">
        <f>$B$4*$B$22*B13/100</f>
        <v>15820</v>
      </c>
      <c r="C32">
        <f t="shared" ref="C32:F32" si="0">$B$4*$B$22*C13/100</f>
        <v>8680</v>
      </c>
      <c r="D32">
        <f t="shared" si="0"/>
        <v>4130</v>
      </c>
      <c r="E32">
        <f t="shared" si="0"/>
        <v>30170</v>
      </c>
      <c r="F32">
        <f t="shared" si="0"/>
        <v>11200</v>
      </c>
    </row>
    <row r="33" spans="1:7">
      <c r="A33" t="s">
        <v>39</v>
      </c>
      <c r="B33">
        <f>(IF($B$4&lt;2000,VLOOKUP(7,'Modal Split'!$A$3:$F$9,2,FALSE),(IF($B$4&lt;5000,VLOOKUP(6,'Modal Split'!$A$3:$F$9,2,FALSE),(IF($B$4&lt;20000,VLOOKUP(5,'Modal Split'!$A$3:$F$9,2,FALSE),(IF($B$4&lt;50000,VLOOKUP(4,'Modal Split'!$A$3:$F$9,2,FALSE),(IF($B$4&lt;100000,VLOOKUP(3,'Modal Split'!$A$3:$F$9,2,FALSE),(IF($B$4&lt;500000,VLOOKUP(2,'Modal Split'!$A$3:$F$9,2,FALSE),VLOOKUP(1,'Modal Split'!$A$3:$F$9,2,FALSE)))))))))))))*(IF($B$4&lt;2000,VLOOKUP(7,Wegelängen!$A$3:$I$9,9,FALSE),(IF($B$4&lt;5000,VLOOKUP(6,Wegelängen!$A$3:$I$9,9,FALSE),(IF($B$4&lt;20000,VLOOKUP(5,Wegelängen!$A$3:$I$9,9,FALSE),(IF($B$4&lt;50000,VLOOKUP(4,Wegelängen!$A$3:$I$9,9,FALSE),(IF($B$4&lt;100000,VLOOKUP(3,Wegelängen!$A$3:$I$9,9,FALSE),(IF($B$4&lt;500000,VLOOKUP(2,Wegelängen!$A$3:$I$9,9,FALSE),VLOOKUP(1,Wegelängen!$A$3:$I$9,9,FALSE)))))))))))))*$B$4/100</f>
        <v>15820.000000000002</v>
      </c>
      <c r="C33">
        <f>(IF($B$4&lt;2000,VLOOKUP(7,'Modal Split'!$A$3:$F$9,3,FALSE),(IF($B$4&lt;5000,VLOOKUP(6,'Modal Split'!$A$3:$F$9,3,FALSE),(IF($B$4&lt;20000,VLOOKUP(5,'Modal Split'!$A$3:$F$9,3,FALSE),(IF($B$4&lt;50000,VLOOKUP(4,'Modal Split'!$A$3:$F$9,3,FALSE),(IF($B$4&lt;100000,VLOOKUP(3,'Modal Split'!$A$3:$F$9,3,FALSE),(IF($B$4&lt;500000,VLOOKUP(2,'Modal Split'!$A$3:$F$9,3,FALSE),VLOOKUP(1,'Modal Split'!$A$3:$F$9,3,FALSE)))))))))))))*(IF($B$4&lt;2000,VLOOKUP(7,Wegelängen!$A$3:$I$9,9,FALSE),(IF($B$4&lt;5000,VLOOKUP(6,Wegelängen!$A$3:$I$9,9,FALSE),(IF($B$4&lt;20000,VLOOKUP(5,Wegelängen!$A$3:$I$9,9,FALSE),(IF($B$4&lt;50000,VLOOKUP(4,Wegelängen!$A$3:$I$9,9,FALSE),(IF($B$4&lt;100000,VLOOKUP(3,Wegelängen!$A$3:$I$9,9,FALSE),(IF($B$4&lt;500000,VLOOKUP(2,Wegelängen!$A$3:$I$9,9,FALSE),VLOOKUP(1,Wegelängen!$A$3:$I$9,9,FALSE)))))))))))))*$B$4/100</f>
        <v>8680</v>
      </c>
      <c r="D33">
        <f>(IF($B$4&lt;2000,VLOOKUP(7,'Modal Split'!$A$3:$F$9,4,FALSE),(IF($B$4&lt;5000,VLOOKUP(6,'Modal Split'!$A$3:$F$9,4,FALSE),(IF($B$4&lt;20000,VLOOKUP(5,'Modal Split'!$A$3:$F$9,4,FALSE),(IF($B$4&lt;50000,VLOOKUP(4,'Modal Split'!$A$3:$F$9,4,FALSE),(IF($B$4&lt;100000,VLOOKUP(3,'Modal Split'!$A$3:$F$9,4,FALSE),(IF($B$4&lt;500000,VLOOKUP(2,'Modal Split'!$A$3:$F$9,4,FALSE),VLOOKUP(1,'Modal Split'!$A$3:$F$9,4,FALSE)))))))))))))*(IF($B$4&lt;2000,VLOOKUP(7,Wegelängen!$A$3:$I$9,9,FALSE),(IF($B$4&lt;5000,VLOOKUP(6,Wegelängen!$A$3:$I$9,9,FALSE),(IF($B$4&lt;20000,VLOOKUP(5,Wegelängen!$A$3:$I$9,9,FALSE),(IF($B$4&lt;50000,VLOOKUP(4,Wegelängen!$A$3:$I$9,9,FALSE),(IF($B$4&lt;100000,VLOOKUP(3,Wegelängen!$A$3:$I$9,9,FALSE),(IF($B$4&lt;500000,VLOOKUP(2,Wegelängen!$A$3:$I$9,9,FALSE),VLOOKUP(1,Wegelängen!$A$3:$I$9,9,FALSE)))))))))))))*$B$4/100</f>
        <v>4130.0000000000009</v>
      </c>
      <c r="E33">
        <f>(IF($B$4&lt;2000,VLOOKUP(7,'Modal Split'!$A$3:$F$9,5,FALSE),(IF($B$4&lt;5000,VLOOKUP(6,'Modal Split'!$A$3:$F$9,5,FALSE),(IF($B$4&lt;20000,VLOOKUP(5,'Modal Split'!$A$3:$F$9,5,FALSE),(IF($B$4&lt;50000,VLOOKUP(4,'Modal Split'!$A$3:$F$9,5,FALSE),(IF($B$4&lt;100000,VLOOKUP(3,'Modal Split'!$A$3:$F$9,5,FALSE),(IF($B$4&lt;500000,VLOOKUP(2,'Modal Split'!$A$3:$F$9,5,FALSE),VLOOKUP(1,'Modal Split'!$A$3:$F$9,5,FALSE)))))))))))))*(IF($B$4&lt;2000,VLOOKUP(7,Wegelängen!$A$3:$I$9,9,FALSE),(IF($B$4&lt;5000,VLOOKUP(6,Wegelängen!$A$3:$I$9,9,FALSE),(IF($B$4&lt;20000,VLOOKUP(5,Wegelängen!$A$3:$I$9,9,FALSE),(IF($B$4&lt;50000,VLOOKUP(4,Wegelängen!$A$3:$I$9,9,FALSE),(IF($B$4&lt;100000,VLOOKUP(3,Wegelängen!$A$3:$I$9,9,FALSE),(IF($B$4&lt;500000,VLOOKUP(2,Wegelängen!$A$3:$I$9,9,FALSE),VLOOKUP(1,Wegelängen!$A$3:$I$9,9,FALSE)))))))))))))*$B$4/100</f>
        <v>30170</v>
      </c>
      <c r="F33">
        <f>(IF($B$4&lt;2000,VLOOKUP(7,'Modal Split'!$A$3:$F$9,6,FALSE),(IF($B$4&lt;5000,VLOOKUP(6,'Modal Split'!$A$3:$F$9,6,FALSE),(IF($B$4&lt;20000,VLOOKUP(5,'Modal Split'!$A$3:$F$9,6,FALSE),(IF($B$4&lt;50000,VLOOKUP(4,'Modal Split'!$A$3:$F$9,6,FALSE),(IF($B$4&lt;100000,VLOOKUP(3,'Modal Split'!$A$3:$F$9,6,FALSE),(IF($B$4&lt;500000,VLOOKUP(2,'Modal Split'!$A$3:$F$9,6,FALSE),VLOOKUP(1,'Modal Split'!$A$3:$F$9,6,FALSE)))))))))))))*(IF($B$4&lt;2000,VLOOKUP(7,Wegelängen!$A$3:$I$9,9,FALSE),(IF($B$4&lt;5000,VLOOKUP(6,Wegelängen!$A$3:$I$9,9,FALSE),(IF($B$4&lt;20000,VLOOKUP(5,Wegelängen!$A$3:$I$9,9,FALSE),(IF($B$4&lt;50000,VLOOKUP(4,Wegelängen!$A$3:$I$9,9,FALSE),(IF($B$4&lt;100000,VLOOKUP(3,Wegelängen!$A$3:$I$9,9,FALSE),(IF($B$4&lt;500000,VLOOKUP(2,Wegelängen!$A$3:$I$9,9,FALSE),VLOOKUP(1,Wegelängen!$A$3:$I$9,9,FALSE)))))))))))))*$B$4/100</f>
        <v>11200</v>
      </c>
    </row>
    <row r="35" spans="1:7">
      <c r="B35" s="194" t="s">
        <v>48</v>
      </c>
      <c r="C35" s="194"/>
      <c r="D35" s="194"/>
      <c r="E35" s="194"/>
      <c r="F35" s="194"/>
    </row>
    <row r="36" spans="1:7" ht="90" customHeight="1">
      <c r="B36" s="185" t="s">
        <v>51</v>
      </c>
      <c r="C36" s="185"/>
      <c r="D36" s="185"/>
      <c r="E36" s="185"/>
      <c r="F36" s="185"/>
    </row>
    <row r="37" spans="1:7">
      <c r="B37" s="7" t="s">
        <v>41</v>
      </c>
      <c r="C37" s="2"/>
      <c r="D37" s="2"/>
      <c r="E37" s="2"/>
      <c r="F37" s="2"/>
    </row>
    <row r="38" spans="1:7">
      <c r="A38" t="s">
        <v>38</v>
      </c>
      <c r="B38" s="8">
        <f>(($B$4*B13*B16/100)+($B$4*C13*C16/100)+($B$4*D13*D16/100)+($B$4*E13*E16/100)+($B$4*F13*F16/100))*3.5</f>
        <v>806875.3195625759</v>
      </c>
      <c r="C38" s="2"/>
      <c r="D38" s="2"/>
      <c r="E38" s="2"/>
      <c r="F38" s="2"/>
    </row>
    <row r="39" spans="1:7">
      <c r="A39" t="s">
        <v>39</v>
      </c>
      <c r="B39" s="8">
        <f>((IF($B$4&lt;2000,VLOOKUP(7,'Modal Split'!$A$3:$F$9,2,FALSE),(IF($B$4&lt;5000,VLOOKUP(6,'Modal Split'!$A$3:$F$9,2,FALSE),(IF($B$4&lt;20000,VLOOKUP(5,'Modal Split'!$A$3:$F$9,2,FALSE),(IF($B$4&lt;50000,VLOOKUP(4,'Modal Split'!$A$3:$F$9,2,FALSE),(IF($B$4&lt;100000,VLOOKUP(3,'Modal Split'!$A$3:$F$9,2,FALSE),(IF($B$4&lt;500000,VLOOKUP(2,'Modal Split'!$A$3:$F$9,2,FALSE),VLOOKUP(1,'Modal Split'!$A$3:$F$9,2,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$9,4,FALSE),(IF($B$4&lt;5000,VLOOKUP(6,Wegelängen!$A$3:$I$9,4,FALSE),(IF($B$4&lt;20000,VLOOKUP(5,Wegelängen!$A$3:$I$9,4,FALSE),(IF($B$4&lt;50000,VLOOKUP(4,Wegelängen!$A$3:$I$9,4,FALSE),(IF($B$4&lt;100000,VLOOKUP(3,Wegelängen!$A$3:$I$9,4,FALSE),(IF($B$4&lt;500000,VLOOKUP(2,Wegelängen!$A$3:$I$9,4,FALSE),VLOOKUP(1,Wegelängen!$A$3:$I$9,4,FALSE)))))))))))))*$B$4/100)+((IF($B$4&lt;2000,VLOOKUP(7,'Modal Split'!$A$3:$F$9,3,FALSE),(IF($B$4&lt;5000,VLOOKUP(6,'Modal Split'!$A$3:$F$9,3,FALSE),(IF($B$4&lt;20000,VLOOKUP(5,'Modal Split'!$A$3:$F$9,3,FALSE),(IF($B$4&lt;50000,VLOOKUP(4,'Modal Split'!$A$3:$F$9,3,FALSE),(IF($B$4&lt;100000,VLOOKUP(3,'Modal Split'!$A$3:$F$9,3,FALSE),(IF($B$4&lt;500000,VLOOKUP(2,'Modal Split'!$A$3:$F$9,3,FALSE),VLOOKUP(1,'Modal Split'!$A$3:$F$9,3,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$9,5,FALSE),(IF($B$4&lt;5000,VLOOKUP(6,Wegelängen!$A$3:$I$9,5,FALSE),(IF($B$4&lt;20000,VLOOKUP(5,Wegelängen!$A$3:$I$9,5,FALSE),(IF($B$4&lt;50000,VLOOKUP(4,Wegelängen!$A$3:$I$9,5,FALSE),(IF($B$4&lt;100000,VLOOKUP(3,Wegelängen!$A$3:$I$9,5,FALSE),(IF($B$4&lt;500000,VLOOKUP(2,Wegelängen!$A$3:$I$9,5,FALSE),VLOOKUP(1,Wegelängen!$A$3:$I$9,5,FALSE)))))))))))))*$B$4/100)+((IF($B$4&lt;2000,VLOOKUP(7,'Modal Split'!$A$3:$F$9,4,FALSE),(IF($B$4&lt;5000,VLOOKUP(6,'Modal Split'!$A$3:$F$9,4,FALSE),(IF($B$4&lt;20000,VLOOKUP(5,'Modal Split'!$A$3:$F$9,4,FALSE),(IF($B$4&lt;50000,VLOOKUP(4,'Modal Split'!$A$3:$F$9,4,FALSE),(IF($B$4&lt;100000,VLOOKUP(3,'Modal Split'!$A$3:$F$9,4,FALSE),(IF($B$4&lt;500000,VLOOKUP(2,'Modal Split'!$A$3:$F$9,4,FALSE),VLOOKUP(1,'Modal Split'!$A$3:$F$9,4,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$9,6,FALSE),(IF($B$4&lt;5000,VLOOKUP(6,Wegelängen!$A$3:$I$9,6,FALSE),(IF($B$4&lt;20000,VLOOKUP(5,Wegelängen!$A$3:$I$9,6,FALSE),(IF($B$4&lt;50000,VLOOKUP(4,Wegelängen!$A$3:$I$9,6,FALSE),(IF($B$4&lt;100000,VLOOKUP(3,Wegelängen!$A$3:$I$9,6,FALSE),(IF($B$4&lt;500000,VLOOKUP(2,Wegelängen!$A$3:$I$9,6,FALSE),VLOOKUP(1,Wegelängen!$A$3:$I$9,6,FALSE)))))))))))))*$B$4/100)+((IF($B$4&lt;2000,VLOOKUP(7,'Modal Split'!$A$3:$F$9,5,FALSE),(IF($B$4&lt;5000,VLOOKUP(6,'Modal Split'!$A$3:$F$9,5,FALSE),(IF($B$4&lt;20000,VLOOKUP(5,'Modal Split'!$A$3:$F$9,5,FALSE),(IF($B$4&lt;50000,VLOOKUP(4,'Modal Split'!$A$3:$F$9,5,FALSE),(IF($B$4&lt;100000,VLOOKUP(3,'Modal Split'!$A$3:$F$9,5,FALSE),(IF($B$4&lt;500000,VLOOKUP(2,'Modal Split'!$A$3:$F$9,5,FALSE),VLOOKUP(1,'Modal Split'!$A$3:$F$9,5,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$9,7,FALSE),(IF($B$4&lt;5000,VLOOKUP(6,Wegelängen!$A$3:$I$9,7,FALSE),(IF($B$4&lt;20000,VLOOKUP(5,Wegelängen!$A$3:$I$9,7,FALSE),(IF($B$4&lt;50000,VLOOKUP(4,Wegelängen!$A$3:$I$9,7,FALSE),(IF($B$4&lt;100000,VLOOKUP(3,Wegelängen!$A$3:$I$9,7,FALSE),(IF($B$4&lt;500000,VLOOKUP(2,Wegelängen!$A$3:$I$9,7,FALSE),VLOOKUP(1,Wegelängen!$A$3:$I$9,7,FALSE)))))))))))))*$B$4/100)+((IF($B$4&lt;2000,VLOOKUP(7,'Modal Split'!$A$3:$F$9,6,FALSE),(IF($B$4&lt;5000,VLOOKUP(6,'Modal Split'!$A$3:$F$9,6,FALSE),(IF($B$4&lt;20000,VLOOKUP(5,'Modal Split'!$A$3:$F$9,6,FALSE),(IF($B$4&lt;50000,VLOOKUP(4,'Modal Split'!$A$3:$F$9,6,FALSE),(IF($B$4&lt;100000,VLOOKUP(3,'Modal Split'!$A$3:$F$9,6,FALSE),(IF($B$4&lt;500000,VLOOKUP(2,'Modal Split'!$A$3:$F$9,6,FALSE),VLOOKUP(1,'Modal Split'!$A$3:$F$9,6,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$9,8,FALSE),(IF($B$4&lt;5000,VLOOKUP(6,Wegelängen!$A$3:$I$9,8,FALSE),(IF($B$4&lt;20000,VLOOKUP(5,Wegelängen!$A$3:$I$9,8,FALSE),(IF($B$4&lt;50000,VLOOKUP(4,Wegelängen!$A$3:$I$9,8,FALSE),(IF($B$4&lt;100000,VLOOKUP(3,Wegelängen!$A$3:$I$9,8,FALSE),(IF($B$4&lt;500000,VLOOKUP(2,Wegelängen!$A$3:$I$9,8,FALSE),VLOOKUP(1,Wegelängen!$A$3:$I$9,8,FALSE)))))))))))))*$B$4/100)</f>
        <v>806875.31956257601</v>
      </c>
      <c r="C39" s="2"/>
      <c r="D39" s="2"/>
      <c r="E39" s="2"/>
      <c r="F39" s="2"/>
    </row>
    <row r="40" spans="1:7">
      <c r="B40" t="s">
        <v>17</v>
      </c>
      <c r="C40" t="s">
        <v>18</v>
      </c>
      <c r="D40" t="s">
        <v>19</v>
      </c>
      <c r="E40" t="s">
        <v>33</v>
      </c>
      <c r="F40" t="s">
        <v>34</v>
      </c>
    </row>
    <row r="41" spans="1:7">
      <c r="A41" t="s">
        <v>38</v>
      </c>
      <c r="B41" s="6">
        <f>$B$4*$B$22*B16*B13/100</f>
        <v>20910.080194410693</v>
      </c>
      <c r="C41" s="6">
        <f t="shared" ref="C41:F41" si="1">$B$4*$B$22*C16*C13/100</f>
        <v>26223.513973268535</v>
      </c>
      <c r="D41" s="6">
        <f t="shared" si="1"/>
        <v>83052.142162818971</v>
      </c>
      <c r="E41" s="6">
        <f t="shared" si="1"/>
        <v>521251.81895504252</v>
      </c>
      <c r="F41" s="6">
        <f t="shared" si="1"/>
        <v>155437.76427703525</v>
      </c>
      <c r="G41" s="6"/>
    </row>
    <row r="42" spans="1:7">
      <c r="A42" t="s">
        <v>39</v>
      </c>
      <c r="B42" s="6">
        <f>(IF($B$4&lt;2000,VLOOKUP(7,'Modal Split'!$A$3:$F$9,2,FALSE),(IF($B$4&lt;5000,VLOOKUP(6,'Modal Split'!$A$3:$F$9,2,FALSE),(IF($B$4&lt;20000,VLOOKUP(5,'Modal Split'!$A$3:$F$9,2,FALSE),(IF($B$4&lt;50000,VLOOKUP(4,'Modal Split'!$A$3:$F$9,2,FALSE),(IF($B$4&lt;100000,VLOOKUP(3,'Modal Split'!$A$3:$F$9,2,FALSE),(IF($B$4&lt;500000,VLOOKUP(2,'Modal Split'!$A$3:$F$9,2,FALSE),VLOOKUP(1,'Modal Split'!$A$3:$F$9,2,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$9,4,FALSE),(IF($B$4&lt;5000,VLOOKUP(6,Wegelängen!$A$3:$I$9,4,FALSE),(IF($B$4&lt;20000,VLOOKUP(5,Wegelängen!$A$3:$I$9,4,FALSE),(IF($B$4&lt;50000,VLOOKUP(4,Wegelängen!$A$3:$I$9,4,FALSE),(IF($B$4&lt;100000,VLOOKUP(3,Wegelängen!$A$3:$I$9,4,FALSE),(IF($B$4&lt;500000,VLOOKUP(2,Wegelängen!$A$3:$I$9,4,FALSE),VLOOKUP(1,Wegelängen!$A$3:$I$9,4,FALSE)))))))))))))*$B$4/100</f>
        <v>20910.080194410697</v>
      </c>
      <c r="C42" s="6">
        <f>(IF($B$4&lt;2000,VLOOKUP(7,'Modal Split'!$A$3:$F$9,3,FALSE),(IF($B$4&lt;5000,VLOOKUP(6,'Modal Split'!$A$3:$F$9,3,FALSE),(IF($B$4&lt;20000,VLOOKUP(5,'Modal Split'!$A$3:$F$9,3,FALSE),(IF($B$4&lt;50000,VLOOKUP(4,'Modal Split'!$A$3:$F$9,3,FALSE),(IF($B$4&lt;100000,VLOOKUP(3,'Modal Split'!$A$3:$F$9,3,FALSE),(IF($B$4&lt;500000,VLOOKUP(2,'Modal Split'!$A$3:$F$9,3,FALSE),VLOOKUP(1,'Modal Split'!$A$3:$F$9,3,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$9,5,FALSE),(IF($B$4&lt;5000,VLOOKUP(6,Wegelängen!$A$3:$I$9,5,FALSE),(IF($B$4&lt;20000,VLOOKUP(5,Wegelängen!$A$3:$I$9,5,FALSE),(IF($B$4&lt;50000,VLOOKUP(4,Wegelängen!$A$3:$I$9,5,FALSE),(IF($B$4&lt;100000,VLOOKUP(3,Wegelängen!$A$3:$I$9,5,FALSE),(IF($B$4&lt;500000,VLOOKUP(2,Wegelängen!$A$3:$I$9,5,FALSE),VLOOKUP(1,Wegelängen!$A$3:$I$9,5,FALSE)))))))))))))*$B$4/100</f>
        <v>26223.513973268531</v>
      </c>
      <c r="D42" s="6">
        <f>(IF($B$4&lt;2000,VLOOKUP(7,'Modal Split'!$A$3:$F$9,4,FALSE),(IF($B$4&lt;5000,VLOOKUP(6,'Modal Split'!$A$3:$F$9,4,FALSE),(IF($B$4&lt;20000,VLOOKUP(5,'Modal Split'!$A$3:$F$9,4,FALSE),(IF($B$4&lt;50000,VLOOKUP(4,'Modal Split'!$A$3:$F$9,4,FALSE),(IF($B$4&lt;100000,VLOOKUP(3,'Modal Split'!$A$3:$F$9,4,FALSE),(IF($B$4&lt;500000,VLOOKUP(2,'Modal Split'!$A$3:$F$9,4,FALSE),VLOOKUP(1,'Modal Split'!$A$3:$F$9,4,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$9,6,FALSE),(IF($B$4&lt;5000,VLOOKUP(6,Wegelängen!$A$3:$I$9,6,FALSE),(IF($B$4&lt;20000,VLOOKUP(5,Wegelängen!$A$3:$I$9,6,FALSE),(IF($B$4&lt;50000,VLOOKUP(4,Wegelängen!$A$3:$I$9,6,FALSE),(IF($B$4&lt;100000,VLOOKUP(3,Wegelängen!$A$3:$I$9,6,FALSE),(IF($B$4&lt;500000,VLOOKUP(2,Wegelängen!$A$3:$I$9,6,FALSE),VLOOKUP(1,Wegelängen!$A$3:$I$9,6,FALSE)))))))))))))*$B$4/100</f>
        <v>83052.142162818971</v>
      </c>
      <c r="E42" s="6">
        <f>(IF($B$4&lt;2000,VLOOKUP(7,'Modal Split'!$A$3:$F$9,5,FALSE),(IF($B$4&lt;5000,VLOOKUP(6,'Modal Split'!$A$3:$F$9,5,FALSE),(IF($B$4&lt;20000,VLOOKUP(5,'Modal Split'!$A$3:$F$9,5,FALSE),(IF($B$4&lt;50000,VLOOKUP(4,'Modal Split'!$A$3:$F$9,5,FALSE),(IF($B$4&lt;100000,VLOOKUP(3,'Modal Split'!$A$3:$F$9,5,FALSE),(IF($B$4&lt;500000,VLOOKUP(2,'Modal Split'!$A$3:$F$9,5,FALSE),VLOOKUP(1,'Modal Split'!$A$3:$F$9,5,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$9,7,FALSE),(IF($B$4&lt;5000,VLOOKUP(6,Wegelängen!$A$3:$I$9,7,FALSE),(IF($B$4&lt;20000,VLOOKUP(5,Wegelängen!$A$3:$I$9,7,FALSE),(IF($B$4&lt;50000,VLOOKUP(4,Wegelängen!$A$3:$I$9,7,FALSE),(IF($B$4&lt;100000,VLOOKUP(3,Wegelängen!$A$3:$I$9,7,FALSE),(IF($B$4&lt;500000,VLOOKUP(2,Wegelängen!$A$3:$I$9,7,FALSE),VLOOKUP(1,Wegelängen!$A$3:$I$9,7,FALSE)))))))))))))*$B$4/100</f>
        <v>521251.81895504257</v>
      </c>
      <c r="F42" s="6">
        <f>(IF($B$4&lt;2000,VLOOKUP(7,'Modal Split'!$A$3:$F$9,6,FALSE),(IF($B$4&lt;5000,VLOOKUP(6,'Modal Split'!$A$3:$F$9,6,FALSE),(IF($B$4&lt;20000,VLOOKUP(5,'Modal Split'!$A$3:$F$9,6,FALSE),(IF($B$4&lt;50000,VLOOKUP(4,'Modal Split'!$A$3:$F$9,6,FALSE),(IF($B$4&lt;100000,VLOOKUP(3,'Modal Split'!$A$3:$F$9,6,FALSE),(IF($B$4&lt;500000,VLOOKUP(2,'Modal Split'!$A$3:$F$9,6,FALSE),VLOOKUP(1,'Modal Split'!$A$3:$F$9,6,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$9,8,FALSE),(IF($B$4&lt;5000,VLOOKUP(6,Wegelängen!$A$3:$I$9,8,FALSE),(IF($B$4&lt;20000,VLOOKUP(5,Wegelängen!$A$3:$I$9,8,FALSE),(IF($B$4&lt;50000,VLOOKUP(4,Wegelängen!$A$3:$I$9,8,FALSE),(IF($B$4&lt;100000,VLOOKUP(3,Wegelängen!$A$3:$I$9,8,FALSE),(IF($B$4&lt;500000,VLOOKUP(2,Wegelängen!$A$3:$I$9,8,FALSE),VLOOKUP(1,Wegelängen!$A$3:$I$9,8,FALSE)))))))))))))*$B$4/100</f>
        <v>155437.76427703525</v>
      </c>
    </row>
    <row r="44" spans="1:7">
      <c r="A44" t="s">
        <v>32</v>
      </c>
    </row>
    <row r="45" spans="1:7">
      <c r="B45" s="194" t="s">
        <v>44</v>
      </c>
      <c r="C45" s="194"/>
      <c r="D45" s="194"/>
      <c r="E45" s="194"/>
      <c r="F45" s="194"/>
    </row>
    <row r="46" spans="1:7" ht="105.75" customHeight="1">
      <c r="B46" s="185" t="s">
        <v>52</v>
      </c>
      <c r="C46" s="185"/>
      <c r="D46" s="185"/>
      <c r="E46" s="185"/>
      <c r="F46" s="185"/>
    </row>
    <row r="47" spans="1:7">
      <c r="B47" t="s">
        <v>17</v>
      </c>
      <c r="C47" t="s">
        <v>18</v>
      </c>
      <c r="D47" t="s">
        <v>19</v>
      </c>
      <c r="E47" t="s">
        <v>33</v>
      </c>
      <c r="F47" t="s">
        <v>34</v>
      </c>
    </row>
    <row r="48" spans="1:7">
      <c r="A48" t="s">
        <v>38</v>
      </c>
      <c r="B48" s="6">
        <f>(($B$4*$B$22*B16*B13/100)*B19)/1000000</f>
        <v>0</v>
      </c>
      <c r="C48" s="6">
        <f t="shared" ref="C48:F48" si="2">(($B$4*$B$22*C16*C13/100)*C19)/1000000</f>
        <v>0</v>
      </c>
      <c r="D48" s="3">
        <f t="shared" si="2"/>
        <v>6.0904904252733907</v>
      </c>
      <c r="E48" s="3">
        <f t="shared" si="2"/>
        <v>106.6481221582017</v>
      </c>
      <c r="F48" s="3">
        <f t="shared" si="2"/>
        <v>1.711058909161604</v>
      </c>
    </row>
    <row r="49" spans="1:6">
      <c r="A49" t="s">
        <v>39</v>
      </c>
      <c r="B49" s="6">
        <f>(IF($B$4&lt;2000,VLOOKUP(7,'Modal Split'!$A$3:$F$9,2,FALSE),(IF($B$4&lt;5000,VLOOKUP(6,'Modal Split'!$A$3:$F$9,2,FALSE),(IF($B$4&lt;20000,VLOOKUP(5,'Modal Split'!$A$3:$F$9,2,FALSE),(IF($B$4&lt;50000,VLOOKUP(4,'Modal Split'!$A$3:$F$9,2,FALSE),(IF($B$4&lt;100000,VLOOKUP(3,'Modal Split'!$A$3:$F$9,2,FALSE),(IF($B$4&lt;500000,VLOOKUP(2,'Modal Split'!$A$3:$F$9,2,FALSE),VLOOKUP(1,'Modal Split'!$A$3:$F$9,2,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$9,4,FALSE),(IF($B$4&lt;5000,VLOOKUP(6,Wegelängen!$A$3:$I$9,4,FALSE),(IF($B$4&lt;20000,VLOOKUP(5,Wegelängen!$A$3:$I$9,4,FALSE),(IF($B$4&lt;50000,VLOOKUP(4,Wegelängen!$A$3:$I$9,4,FALSE),(IF($B$4&lt;100000,VLOOKUP(3,Wegelängen!$A$3:$I$9,4,FALSE),(IF($B$4&lt;500000,VLOOKUP(2,Wegelängen!$A$3:$I$9,4,FALSE),VLOOKUP(1,Wegelängen!$A$3:$I$9,4,FALSE)))))))))))))*$B$4/100*'CO2'!B2/1000000</f>
        <v>0</v>
      </c>
      <c r="C49" s="6">
        <f>(IF($B$4&lt;2000,VLOOKUP(7,'Modal Split'!$A$3:$F$9,3,FALSE),(IF($B$4&lt;5000,VLOOKUP(6,'Modal Split'!$A$3:$F$9,3,FALSE),(IF($B$4&lt;20000,VLOOKUP(5,'Modal Split'!$A$3:$F$9,3,FALSE),(IF($B$4&lt;50000,VLOOKUP(4,'Modal Split'!$A$3:$F$9,3,FALSE),(IF($B$4&lt;100000,VLOOKUP(3,'Modal Split'!$A$3:$F$9,3,FALSE),(IF($B$4&lt;500000,VLOOKUP(2,'Modal Split'!$A$3:$F$9,3,FALSE),VLOOKUP(1,'Modal Split'!$A$3:$F$9,3,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$9,5,FALSE),(IF($B$4&lt;5000,VLOOKUP(6,Wegelängen!$A$3:$I$9,5,FALSE),(IF($B$4&lt;20000,VLOOKUP(5,Wegelängen!$A$3:$I$9,5,FALSE),(IF($B$4&lt;50000,VLOOKUP(4,Wegelängen!$A$3:$I$9,5,FALSE),(IF($B$4&lt;100000,VLOOKUP(3,Wegelängen!$A$3:$I$9,5,FALSE),(IF($B$4&lt;500000,VLOOKUP(2,Wegelängen!$A$3:$I$9,5,FALSE),VLOOKUP(1,Wegelängen!$A$3:$I$9,5,FALSE)))))))))))))*$B$4/100*'CO2'!B3/1000000</f>
        <v>0</v>
      </c>
      <c r="D49" s="3">
        <f>(IF($B$4&lt;2000,VLOOKUP(7,'Modal Split'!$A$3:$F$9,4,FALSE),(IF($B$4&lt;5000,VLOOKUP(6,'Modal Split'!$A$3:$F$9,4,FALSE),(IF($B$4&lt;20000,VLOOKUP(5,'Modal Split'!$A$3:$F$9,4,FALSE),(IF($B$4&lt;50000,VLOOKUP(4,'Modal Split'!$A$3:$F$9,4,FALSE),(IF($B$4&lt;100000,VLOOKUP(3,'Modal Split'!$A$3:$F$9,4,FALSE),(IF($B$4&lt;500000,VLOOKUP(2,'Modal Split'!$A$3:$F$9,4,FALSE),VLOOKUP(1,'Modal Split'!$A$3:$F$9,4,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$9,6,FALSE),(IF($B$4&lt;5000,VLOOKUP(6,Wegelängen!$A$3:$I$9,6,FALSE),(IF($B$4&lt;20000,VLOOKUP(5,Wegelängen!$A$3:$I$9,6,FALSE),(IF($B$4&lt;50000,VLOOKUP(4,Wegelängen!$A$3:$I$9,6,FALSE),(IF($B$4&lt;100000,VLOOKUP(3,Wegelängen!$A$3:$I$9,6,FALSE),(IF($B$4&lt;500000,VLOOKUP(2,Wegelängen!$A$3:$I$9,6,FALSE),VLOOKUP(1,Wegelängen!$A$3:$I$9,6,FALSE)))))))))))))*$B$4/100*'CO2'!B4/1000000</f>
        <v>6.0904904252733907</v>
      </c>
      <c r="E49" s="3">
        <f>(IF($B$4&lt;2000,VLOOKUP(7,'Modal Split'!$A$3:$F$9,5,FALSE),(IF($B$4&lt;5000,VLOOKUP(6,'Modal Split'!$A$3:$F$9,5,FALSE),(IF($B$4&lt;20000,VLOOKUP(5,'Modal Split'!$A$3:$F$9,5,FALSE),(IF($B$4&lt;50000,VLOOKUP(4,'Modal Split'!$A$3:$F$9,5,FALSE),(IF($B$4&lt;100000,VLOOKUP(3,'Modal Split'!$A$3:$F$9,5,FALSE),(IF($B$4&lt;500000,VLOOKUP(2,'Modal Split'!$A$3:$F$9,5,FALSE),VLOOKUP(1,'Modal Split'!$A$3:$F$9,5,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$9,7,FALSE),(IF($B$4&lt;5000,VLOOKUP(6,Wegelängen!$A$3:$I$9,7,FALSE),(IF($B$4&lt;20000,VLOOKUP(5,Wegelängen!$A$3:$I$9,7,FALSE),(IF($B$4&lt;50000,VLOOKUP(4,Wegelängen!$A$3:$I$9,7,FALSE),(IF($B$4&lt;100000,VLOOKUP(3,Wegelängen!$A$3:$I$9,7,FALSE),(IF($B$4&lt;500000,VLOOKUP(2,Wegelängen!$A$3:$I$9,7,FALSE),VLOOKUP(1,Wegelängen!$A$3:$I$9,7,FALSE)))))))))))))*$B$4/100*'CO2'!B5/1000000</f>
        <v>106.64812215820172</v>
      </c>
      <c r="F49" s="3">
        <f>(IF($B$4&lt;2000,VLOOKUP(7,'Modal Split'!$A$3:$F$9,6,FALSE),(IF($B$4&lt;5000,VLOOKUP(6,'Modal Split'!$A$3:$F$9,6,FALSE),(IF($B$4&lt;20000,VLOOKUP(5,'Modal Split'!$A$3:$F$9,6,FALSE),(IF($B$4&lt;50000,VLOOKUP(4,'Modal Split'!$A$3:$F$9,6,FALSE),(IF($B$4&lt;100000,VLOOKUP(3,'Modal Split'!$A$3:$F$9,6,FALSE),(IF($B$4&lt;500000,VLOOKUP(2,'Modal Split'!$A$3:$F$9,6,FALSE),VLOOKUP(1,'Modal Split'!$A$3:$F$9,6,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$9,8,FALSE),(IF($B$4&lt;5000,VLOOKUP(6,Wegelängen!$A$3:$I$9,8,FALSE),(IF($B$4&lt;20000,VLOOKUP(5,Wegelängen!$A$3:$I$9,8,FALSE),(IF($B$4&lt;50000,VLOOKUP(4,Wegelängen!$A$3:$I$9,8,FALSE),(IF($B$4&lt;100000,VLOOKUP(3,Wegelängen!$A$3:$I$9,8,FALSE),(IF($B$4&lt;500000,VLOOKUP(2,Wegelängen!$A$3:$I$9,8,FALSE),VLOOKUP(1,Wegelängen!$A$3:$I$9,8,FALSE)))))))))))))*$B$4/100*'CO2'!B6/1000000</f>
        <v>1.711058909161604</v>
      </c>
    </row>
    <row r="50" spans="1:6">
      <c r="B50" s="194" t="s">
        <v>53</v>
      </c>
      <c r="C50" s="194"/>
      <c r="D50" s="194"/>
      <c r="E50" s="194"/>
      <c r="F50" s="194"/>
    </row>
    <row r="51" spans="1:6">
      <c r="A51" t="s">
        <v>38</v>
      </c>
      <c r="B51" s="6">
        <f>(B16*B19)/1000</f>
        <v>0</v>
      </c>
      <c r="C51" s="6">
        <f t="shared" ref="C51:F51" si="3">(C16*C19)/1000</f>
        <v>0</v>
      </c>
      <c r="D51" s="3">
        <f t="shared" si="3"/>
        <v>1.4746950182260026</v>
      </c>
      <c r="E51" s="3">
        <f t="shared" si="3"/>
        <v>3.5349062697448357</v>
      </c>
      <c r="F51" s="3">
        <f t="shared" si="3"/>
        <v>0.15277311688942891</v>
      </c>
    </row>
    <row r="52" spans="1:6">
      <c r="A52" t="s">
        <v>39</v>
      </c>
      <c r="B52" s="3">
        <f>IF($B$4&lt;2000,VLOOKUP(7,Wegelängen!$A$3:$I$9,4,FALSE),(IF($B$4&lt;5000,VLOOKUP(6,Wegelängen!$A$3:$I$9,4,FALSE),(IF($B$4&lt;20000,VLOOKUP(5,Wegelängen!$A$3:$I$9,4,FALSE),(IF($B$4&lt;50000,VLOOKUP(4,Wegelängen!$A$3:$I$9,4,FALSE),(IF($B$4&lt;100000,VLOOKUP(3,Wegelängen!$A$3:$I$9,4,FALSE),(IF($B$4&lt;500000,VLOOKUP(2,Wegelängen!$A$3:$I$9,4,FALSE),VLOOKUP(1,Wegelängen!$A$3:$I$9,4,FALSE))))))))))))*'CO2'!B2/1000</f>
        <v>0</v>
      </c>
      <c r="C52" s="3">
        <f>IF($B$4&lt;2000,VLOOKUP(7,Wegelängen!$A$3:$I$9,5,FALSE),(IF($B$4&lt;5000,VLOOKUP(6,Wegelängen!$A$3:$I$9,5,FALSE),(IF($B$4&lt;20000,VLOOKUP(5,Wegelängen!$A$3:$I$9,5,FALSE),(IF($B$4&lt;50000,VLOOKUP(4,Wegelängen!$A$3:$I$9,5,FALSE),(IF($B$4&lt;100000,VLOOKUP(3,Wegelängen!$A$3:$I$9,5,FALSE),(IF($B$4&lt;500000,VLOOKUP(2,Wegelängen!$A$3:$I$9,5,FALSE),VLOOKUP(1,Wegelängen!$A$3:$I$9,5,FALSE))))))))))))*'CO2'!B3/1000</f>
        <v>0</v>
      </c>
      <c r="D52" s="3">
        <f>IF($B$4&lt;2000,VLOOKUP(7,Wegelängen!$A$3:$I$9,6,FALSE),(IF($B$4&lt;5000,VLOOKUP(6,Wegelängen!$A$3:$I$9,6,FALSE),(IF($B$4&lt;20000,VLOOKUP(5,Wegelängen!$A$3:$I$9,6,FALSE),(IF($B$4&lt;50000,VLOOKUP(4,Wegelängen!$A$3:$I$9,6,FALSE),(IF($B$4&lt;100000,VLOOKUP(3,Wegelängen!$A$3:$I$9,6,FALSE),(IF($B$4&lt;500000,VLOOKUP(2,Wegelängen!$A$3:$I$9,6,FALSE),VLOOKUP(1,Wegelängen!$A$3:$I$9,6,FALSE))))))))))))*'CO2'!B4/1000</f>
        <v>1.4746950182260026</v>
      </c>
      <c r="E52" s="3">
        <f>IF($B$4&lt;2000,VLOOKUP(7,Wegelängen!$A$3:$I$9,7,FALSE),(IF($B$4&lt;5000,VLOOKUP(6,Wegelängen!$A$3:$I$9,7,FALSE),(IF($B$4&lt;20000,VLOOKUP(5,Wegelängen!$A$3:$I$9,7,FALSE),(IF($B$4&lt;50000,VLOOKUP(4,Wegelängen!$A$3:$I$9,7,FALSE),(IF($B$4&lt;100000,VLOOKUP(3,Wegelängen!$A$3:$I$9,7,FALSE),(IF($B$4&lt;500000,VLOOKUP(2,Wegelängen!$A$3:$I$9,7,FALSE),VLOOKUP(1,Wegelängen!$A$3:$I$9,7,FALSE))))))))))))*'CO2'!B5/1000</f>
        <v>3.5349062697448357</v>
      </c>
      <c r="F52" s="3">
        <f>IF($B$4&lt;2000,VLOOKUP(7,Wegelängen!$A$3:$I$9,8,FALSE),(IF($B$4&lt;5000,VLOOKUP(6,Wegelängen!$A$3:$I$9,8,FALSE),(IF($B$4&lt;20000,VLOOKUP(5,Wegelängen!$A$3:$I$9,8,FALSE),(IF($B$4&lt;50000,VLOOKUP(4,Wegelängen!$A$3:$I$9,8,FALSE),(IF($B$4&lt;100000,VLOOKUP(3,Wegelängen!$A$3:$I$9,8,FALSE),(IF($B$4&lt;500000,VLOOKUP(2,Wegelängen!$A$3:$I$9,8,FALSE),VLOOKUP(1,Wegelängen!$A$3:$I$9,8,FALSE))))))))))))*'CO2'!B6/1000</f>
        <v>0.15277311688942891</v>
      </c>
    </row>
    <row r="53" spans="1:6">
      <c r="B53" t="s">
        <v>49</v>
      </c>
    </row>
    <row r="54" spans="1:6">
      <c r="A54" t="s">
        <v>38</v>
      </c>
      <c r="B54" s="3">
        <f>(($B$4*B13*B16/100*B19)+($B$4*C13*C16/100*C19)+($B$4*D13*D16/100*D19)+($B$4*E13*E16/100*E19)+($B$4*F13*F16/100*F19))*3.5/1000000</f>
        <v>114.4496714926367</v>
      </c>
    </row>
    <row r="55" spans="1:6">
      <c r="A55" t="s">
        <v>39</v>
      </c>
      <c r="B55" s="3">
        <f>(((IF($B$4&lt;2000,VLOOKUP(7,'Modal Split'!$A$3:$F$9,2,FALSE),(IF($B$4&lt;5000,VLOOKUP(6,'Modal Split'!$A$3:$F$9,2,FALSE),(IF($B$4&lt;20000,VLOOKUP(5,'Modal Split'!$A$3:$F$9,2,FALSE),(IF($B$4&lt;50000,VLOOKUP(4,'Modal Split'!$A$3:$F$9,2,FALSE),(IF($B$4&lt;100000,VLOOKUP(3,'Modal Split'!$A$3:$F$9,2,FALSE),(IF($B$4&lt;500000,VLOOKUP(2,'Modal Split'!$A$3:$F$9,2,FALSE),VLOOKUP(1,'Modal Split'!$A$3:$F$9,2,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$9,4,FALSE),(IF($B$4&lt;5000,VLOOKUP(6,Wegelängen!$A$3:$I$9,4,FALSE),(IF($B$4&lt;20000,VLOOKUP(5,Wegelängen!$A$3:$I$9,4,FALSE),(IF($B$4&lt;50000,VLOOKUP(4,Wegelängen!$A$3:$I$9,4,FALSE),(IF($B$4&lt;100000,VLOOKUP(3,Wegelängen!$A$3:$I$9,4,FALSE),(IF($B$4&lt;500000,VLOOKUP(2,Wegelängen!$A$3:$I$9,4,FALSE),VLOOKUP(1,Wegelängen!$A$3:$I$9,4,FALSE)))))))))))))*$B$4/100*'CO2'!B2)+((IF($B$4&lt;2000,VLOOKUP(7,'Modal Split'!$A$3:$F$9,3,FALSE),(IF($B$4&lt;5000,VLOOKUP(6,'Modal Split'!$A$3:$F$9,3,FALSE),(IF($B$4&lt;20000,VLOOKUP(5,'Modal Split'!$A$3:$F$9,3,FALSE),(IF($B$4&lt;50000,VLOOKUP(4,'Modal Split'!$A$3:$F$9,3,FALSE),(IF($B$4&lt;100000,VLOOKUP(3,'Modal Split'!$A$3:$F$9,3,FALSE),(IF($B$4&lt;500000,VLOOKUP(2,'Modal Split'!$A$3:$F$9,3,FALSE),VLOOKUP(1,'Modal Split'!$A$3:$F$9,3,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$9,5,FALSE),(IF($B$4&lt;5000,VLOOKUP(6,Wegelängen!$A$3:$I$9,5,FALSE),(IF($B$4&lt;20000,VLOOKUP(5,Wegelängen!$A$3:$I$9,5,FALSE),(IF($B$4&lt;50000,VLOOKUP(4,Wegelängen!$A$3:$I$9,5,FALSE),(IF($B$4&lt;100000,VLOOKUP(3,Wegelängen!$A$3:$I$9,5,FALSE),(IF($B$4&lt;500000,VLOOKUP(2,Wegelängen!$A$3:$I$9,5,FALSE),VLOOKUP(1,Wegelängen!$A$3:$I$9,5,FALSE)))))))))))))*$B$4/100*'CO2'!B3)+((IF($B$4&lt;2000,VLOOKUP(7,'Modal Split'!$A$3:$F$9,4,FALSE),(IF($B$4&lt;5000,VLOOKUP(6,'Modal Split'!$A$3:$F$9,4,FALSE),(IF($B$4&lt;20000,VLOOKUP(5,'Modal Split'!$A$3:$F$9,4,FALSE),(IF($B$4&lt;50000,VLOOKUP(4,'Modal Split'!$A$3:$F$9,4,FALSE),(IF($B$4&lt;100000,VLOOKUP(3,'Modal Split'!$A$3:$F$9,4,FALSE),(IF($B$4&lt;500000,VLOOKUP(2,'Modal Split'!$A$3:$F$9,4,FALSE),VLOOKUP(1,'Modal Split'!$A$3:$F$9,4,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$9,6,FALSE),(IF($B$4&lt;5000,VLOOKUP(6,Wegelängen!$A$3:$I$9,6,FALSE),(IF($B$4&lt;20000,VLOOKUP(5,Wegelängen!$A$3:$I$9,6,FALSE),(IF($B$4&lt;50000,VLOOKUP(4,Wegelängen!$A$3:$I$9,6,FALSE),(IF($B$4&lt;100000,VLOOKUP(3,Wegelängen!$A$3:$I$9,6,FALSE),(IF($B$4&lt;500000,VLOOKUP(2,Wegelängen!$A$3:$I$9,6,FALSE),VLOOKUP(1,Wegelängen!$A$3:$I$9,6,FALSE)))))))))))))*$B$4/100*'CO2'!B4)+((IF($B$4&lt;2000,VLOOKUP(7,'Modal Split'!$A$3:$F$9,5,FALSE),(IF($B$4&lt;5000,VLOOKUP(6,'Modal Split'!$A$3:$F$9,5,FALSE),(IF($B$4&lt;20000,VLOOKUP(5,'Modal Split'!$A$3:$F$9,5,FALSE),(IF($B$4&lt;50000,VLOOKUP(4,'Modal Split'!$A$3:$F$9,5,FALSE),(IF($B$4&lt;100000,VLOOKUP(3,'Modal Split'!$A$3:$F$9,5,FALSE),(IF($B$4&lt;500000,VLOOKUP(2,'Modal Split'!$A$3:$F$9,5,FALSE),VLOOKUP(1,'Modal Split'!$A$3:$F$9,5,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$9,7,FALSE),(IF($B$4&lt;5000,VLOOKUP(6,Wegelängen!$A$3:$I$9,7,FALSE),(IF($B$4&lt;20000,VLOOKUP(5,Wegelängen!$A$3:$I$9,7,FALSE),(IF($B$4&lt;50000,VLOOKUP(4,Wegelängen!$A$3:$I$9,7,FALSE),(IF($B$4&lt;100000,VLOOKUP(3,Wegelängen!$A$3:$I$9,7,FALSE),(IF($B$4&lt;500000,VLOOKUP(2,Wegelängen!$A$3:$I$9,7,FALSE),VLOOKUP(1,Wegelängen!$A$3:$I$9,7,FALSE)))))))))))))*$B$4/100*'CO2'!B5)+((IF($B$4&lt;2000,VLOOKUP(7,'Modal Split'!$A$3:$F$9,6,FALSE),(IF($B$4&lt;5000,VLOOKUP(6,'Modal Split'!$A$3:$F$9,6,FALSE),(IF($B$4&lt;20000,VLOOKUP(5,'Modal Split'!$A$3:$F$9,6,FALSE),(IF($B$4&lt;50000,VLOOKUP(4,'Modal Split'!$A$3:$F$9,6,FALSE),(IF($B$4&lt;100000,VLOOKUP(3,'Modal Split'!$A$3:$F$9,6,FALSE),(IF($B$4&lt;500000,VLOOKUP(2,'Modal Split'!$A$3:$F$9,6,FALSE),VLOOKUP(1,'Modal Split'!$A$3:$F$9,6,FALSE)))))))))))))*(IF($B$4&lt;2000,VLOOKUP(7,Wegelängen!$A$3:$I$9,9,FALSE),(IF($B$4&lt;5000,VLOOKUP(6,Wegelängen!$A$3:$I$9,9,FALSE),(IF($B$4&lt;20000,VLOOKUP(5,Wegelängen!$A$3:$I$9,9,FALSE),(IF($B$4&lt;50000,VLOOKUP(4,Wegelängen!$A$3:$I$9,9,FALSE),(IF($B$4&lt;100000,VLOOKUP(3,Wegelängen!$A$3:$I$9,9,FALSE),(IF($B$4&lt;500000,VLOOKUP(2,Wegelängen!$A$3:$I$9,9,FALSE),VLOOKUP(1,Wegelängen!$A$3:$I$9,9,FALSE)))))))))))))*(IF($B$4&lt;2000,VLOOKUP(7,Wegelängen!$A$3:$I$9,8,FALSE),(IF($B$4&lt;5000,VLOOKUP(6,Wegelängen!$A$3:$I$9,8,FALSE),(IF($B$4&lt;20000,VLOOKUP(5,Wegelängen!$A$3:$I$9,8,FALSE),(IF($B$4&lt;50000,VLOOKUP(4,Wegelängen!$A$3:$I$9,8,FALSE),(IF($B$4&lt;100000,VLOOKUP(3,Wegelängen!$A$3:$I$9,8,FALSE),(IF($B$4&lt;500000,VLOOKUP(2,Wegelängen!$A$3:$I$9,8,FALSE),VLOOKUP(1,Wegelängen!$A$3:$I$9,8,FALSE)))))))))))))*$B$4/100*'CO2'!B6))/1000000</f>
        <v>114.4496714926367</v>
      </c>
    </row>
  </sheetData>
  <mergeCells count="10">
    <mergeCell ref="B46:F46"/>
    <mergeCell ref="B50:F50"/>
    <mergeCell ref="B11:F11"/>
    <mergeCell ref="B15:F15"/>
    <mergeCell ref="B18:F18"/>
    <mergeCell ref="B26:F26"/>
    <mergeCell ref="B35:F35"/>
    <mergeCell ref="B45:F45"/>
    <mergeCell ref="B27:F27"/>
    <mergeCell ref="B36:F36"/>
  </mergeCells>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Q35"/>
  <sheetViews>
    <sheetView showGridLines="0" showRowColHeaders="0" workbookViewId="0">
      <selection activeCell="H7" sqref="H7:I10"/>
    </sheetView>
  </sheetViews>
  <sheetFormatPr baseColWidth="10" defaultRowHeight="14" x14ac:dyDescent="0"/>
  <sheetData>
    <row r="2" spans="8:17">
      <c r="H2" s="158" t="s">
        <v>201</v>
      </c>
      <c r="I2" s="158"/>
      <c r="J2" s="158"/>
    </row>
    <row r="3" spans="8:17" ht="16" customHeight="1">
      <c r="H3" s="158"/>
      <c r="I3" s="158"/>
      <c r="J3" s="158"/>
    </row>
    <row r="5" spans="8:17">
      <c r="H5" t="s">
        <v>195</v>
      </c>
    </row>
    <row r="7" spans="8:17" ht="13" customHeight="1">
      <c r="H7" s="90" t="s">
        <v>126</v>
      </c>
      <c r="I7" s="89" t="s">
        <v>124</v>
      </c>
    </row>
    <row r="8" spans="8:17" ht="13" customHeight="1">
      <c r="H8" s="91" t="s">
        <v>126</v>
      </c>
      <c r="I8" s="89" t="s">
        <v>168</v>
      </c>
    </row>
    <row r="9" spans="8:17" ht="13" customHeight="1">
      <c r="H9" s="92" t="s">
        <v>126</v>
      </c>
      <c r="I9" s="89" t="s">
        <v>169</v>
      </c>
    </row>
    <row r="10" spans="8:17" ht="13" customHeight="1">
      <c r="H10" s="93" t="s">
        <v>126</v>
      </c>
      <c r="I10" s="89" t="s">
        <v>170</v>
      </c>
    </row>
    <row r="12" spans="8:17">
      <c r="H12" s="159" t="s">
        <v>207</v>
      </c>
      <c r="I12" s="159"/>
      <c r="J12" s="159"/>
      <c r="K12" s="159"/>
      <c r="L12" s="159"/>
      <c r="M12" s="159"/>
      <c r="N12" s="159"/>
      <c r="O12" s="159"/>
      <c r="P12" s="159"/>
      <c r="Q12" s="159"/>
    </row>
    <row r="13" spans="8:17">
      <c r="H13" s="159"/>
      <c r="I13" s="159"/>
      <c r="J13" s="159"/>
      <c r="K13" s="159"/>
      <c r="L13" s="159"/>
      <c r="M13" s="159"/>
      <c r="N13" s="159"/>
      <c r="O13" s="159"/>
      <c r="P13" s="159"/>
      <c r="Q13" s="159"/>
    </row>
    <row r="14" spans="8:17">
      <c r="H14" s="159"/>
      <c r="I14" s="159"/>
      <c r="J14" s="159"/>
      <c r="K14" s="159"/>
      <c r="L14" s="159"/>
      <c r="M14" s="159"/>
      <c r="N14" s="159"/>
      <c r="O14" s="159"/>
      <c r="P14" s="159"/>
      <c r="Q14" s="159"/>
    </row>
    <row r="19" spans="8:8">
      <c r="H19" t="s">
        <v>196</v>
      </c>
    </row>
    <row r="20" spans="8:8">
      <c r="H20" t="s">
        <v>197</v>
      </c>
    </row>
    <row r="28" spans="8:8">
      <c r="H28" t="s">
        <v>198</v>
      </c>
    </row>
    <row r="29" spans="8:8">
      <c r="H29" t="s">
        <v>199</v>
      </c>
    </row>
    <row r="30" spans="8:8">
      <c r="H30" t="s">
        <v>199</v>
      </c>
    </row>
    <row r="31" spans="8:8">
      <c r="H31" t="s">
        <v>199</v>
      </c>
    </row>
    <row r="32" spans="8:8">
      <c r="H32" t="s">
        <v>199</v>
      </c>
    </row>
    <row r="35" spans="8:8">
      <c r="H35" t="s">
        <v>200</v>
      </c>
    </row>
  </sheetData>
  <mergeCells count="2">
    <mergeCell ref="H2:J3"/>
    <mergeCell ref="H12:Q1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34"/>
  <sheetViews>
    <sheetView showGridLines="0" showRowColHeaders="0" workbookViewId="0">
      <selection activeCell="E3" sqref="E3"/>
    </sheetView>
  </sheetViews>
  <sheetFormatPr baseColWidth="10" defaultRowHeight="14" x14ac:dyDescent="0"/>
  <cols>
    <col min="1" max="1" width="4.6640625" customWidth="1"/>
    <col min="2" max="2" width="16.83203125" customWidth="1"/>
    <col min="3" max="3" width="11.5" customWidth="1"/>
    <col min="4" max="4" width="12.5" customWidth="1"/>
    <col min="5" max="5" width="12.6640625" customWidth="1"/>
    <col min="6" max="7" width="12.33203125" customWidth="1"/>
    <col min="11" max="11" width="13.5" bestFit="1" customWidth="1"/>
  </cols>
  <sheetData>
    <row r="1" spans="2:16" s="13" customFormat="1" ht="48" customHeight="1">
      <c r="B1" s="161" t="s">
        <v>154</v>
      </c>
      <c r="C1" s="161"/>
      <c r="D1" s="161"/>
      <c r="E1" s="161"/>
      <c r="F1" s="161"/>
      <c r="G1" s="161"/>
      <c r="H1" s="161"/>
    </row>
    <row r="2" spans="2:16" s="13" customFormat="1"/>
    <row r="3" spans="2:16" s="61" customFormat="1" ht="20" customHeight="1">
      <c r="B3" s="164" t="s">
        <v>106</v>
      </c>
      <c r="C3" s="164"/>
      <c r="D3" s="165"/>
      <c r="E3" s="74">
        <v>100000</v>
      </c>
      <c r="F3" s="61" t="s">
        <v>0</v>
      </c>
    </row>
    <row r="4" spans="2:16" s="13" customFormat="1">
      <c r="B4" s="14"/>
      <c r="C4" s="14"/>
      <c r="D4" s="14"/>
    </row>
    <row r="5" spans="2:16" s="13" customFormat="1" ht="66" customHeight="1">
      <c r="B5" s="162" t="s">
        <v>155</v>
      </c>
      <c r="C5" s="162"/>
      <c r="D5" s="162"/>
      <c r="E5" s="162"/>
      <c r="F5" s="162"/>
      <c r="G5" s="162"/>
      <c r="H5" s="162"/>
    </row>
    <row r="6" spans="2:16" s="13" customFormat="1">
      <c r="B6" s="14"/>
      <c r="C6" s="14"/>
      <c r="D6" s="14"/>
    </row>
    <row r="7" spans="2:16" s="15" customFormat="1" ht="32" customHeight="1">
      <c r="B7" s="77" t="s">
        <v>100</v>
      </c>
      <c r="C7" s="78" t="s">
        <v>65</v>
      </c>
      <c r="D7" s="78" t="s">
        <v>66</v>
      </c>
      <c r="E7" s="78" t="s">
        <v>67</v>
      </c>
      <c r="F7" s="78" t="s">
        <v>108</v>
      </c>
      <c r="G7" s="78" t="s">
        <v>107</v>
      </c>
      <c r="H7" s="78" t="s">
        <v>109</v>
      </c>
      <c r="J7" s="160"/>
      <c r="K7" s="160"/>
      <c r="L7" s="160"/>
      <c r="M7" s="160"/>
      <c r="N7" s="160"/>
      <c r="O7" s="160"/>
      <c r="P7" s="160"/>
    </row>
    <row r="8" spans="2:16" s="61" customFormat="1" ht="20" customHeight="1">
      <c r="B8" s="65" t="s">
        <v>74</v>
      </c>
      <c r="C8" s="75">
        <v>28</v>
      </c>
      <c r="D8" s="75">
        <v>13</v>
      </c>
      <c r="E8" s="75">
        <v>27</v>
      </c>
      <c r="F8" s="75">
        <v>24</v>
      </c>
      <c r="G8" s="75">
        <v>8</v>
      </c>
      <c r="H8" s="96">
        <f>SUM(C8:G8)</f>
        <v>100</v>
      </c>
    </row>
    <row r="9" spans="2:16" s="61" customFormat="1" ht="20" customHeight="1">
      <c r="B9" s="66" t="s">
        <v>73</v>
      </c>
      <c r="C9" s="94">
        <f>Rechner!C9*100</f>
        <v>28.000000000000004</v>
      </c>
      <c r="D9" s="94">
        <f>Rechner!D9*100</f>
        <v>13</v>
      </c>
      <c r="E9" s="94">
        <f>Rechner!E9*100</f>
        <v>27</v>
      </c>
      <c r="F9" s="94">
        <f>Rechner!F9*100</f>
        <v>24</v>
      </c>
      <c r="G9" s="94">
        <f>Rechner!G9*100</f>
        <v>8</v>
      </c>
      <c r="H9" s="95">
        <f>SUM(C9:G9)</f>
        <v>100</v>
      </c>
    </row>
    <row r="10" spans="2:16" s="13" customFormat="1"/>
    <row r="11" spans="2:16" s="13" customFormat="1" ht="19" customHeight="1">
      <c r="B11" s="166" t="s">
        <v>54</v>
      </c>
      <c r="C11" s="167"/>
      <c r="D11" s="167"/>
      <c r="E11" s="97">
        <f>IF($E$3&lt;2000,VLOOKUP(7,Wegelängen!$A$3:$I$9,9,FALSE),(IF($E$3&lt;5000,VLOOKUP(6,Wegelängen!$A$3:$I$9,9,FALSE),(IF($E$3&lt;20000,VLOOKUP(5,Wegelängen!$A$3:$I$9,9,FALSE),(IF($E$3&lt;50000,VLOOKUP(4,Wegelängen!$A$3:$I$9,9,FALSE),(IF($E$3&lt;100000,VLOOKUP(3,Wegelängen!$A$3:$I$9,9,FALSE),(IF($E$3&lt;500000,VLOOKUP(2,Wegelängen!$A$3:$I$9,9,FALSE),VLOOKUP(1,Wegelängen!$A$3:$I$9,9,FALSE))))))))))))*$E$3</f>
        <v>350000</v>
      </c>
      <c r="F11" s="168" t="s">
        <v>55</v>
      </c>
      <c r="G11" s="168"/>
      <c r="H11" s="169"/>
      <c r="J11" s="90" t="s">
        <v>126</v>
      </c>
      <c r="K11" s="89" t="s">
        <v>124</v>
      </c>
    </row>
    <row r="12" spans="2:16" s="13" customFormat="1" ht="19" customHeight="1">
      <c r="B12" s="170" t="s">
        <v>56</v>
      </c>
      <c r="C12" s="171"/>
      <c r="D12" s="171"/>
      <c r="E12" s="98">
        <f>Rechner!F27</f>
        <v>84000</v>
      </c>
      <c r="F12" s="172" t="s">
        <v>57</v>
      </c>
      <c r="G12" s="172"/>
      <c r="H12" s="173"/>
      <c r="J12" s="91" t="s">
        <v>126</v>
      </c>
      <c r="K12" s="89" t="s">
        <v>168</v>
      </c>
    </row>
    <row r="13" spans="2:16" s="13" customFormat="1" ht="19" customHeight="1">
      <c r="B13" s="170" t="s">
        <v>58</v>
      </c>
      <c r="C13" s="171"/>
      <c r="D13" s="171"/>
      <c r="E13" s="98">
        <f>Rechner!B33</f>
        <v>4007214.6415552855</v>
      </c>
      <c r="F13" s="20" t="s">
        <v>64</v>
      </c>
      <c r="G13" s="20"/>
      <c r="H13" s="58"/>
      <c r="J13" s="92" t="s">
        <v>126</v>
      </c>
      <c r="K13" s="89" t="s">
        <v>169</v>
      </c>
    </row>
    <row r="14" spans="2:16" s="13" customFormat="1" ht="19" customHeight="1" thickBot="1">
      <c r="B14" s="170" t="s">
        <v>59</v>
      </c>
      <c r="C14" s="171"/>
      <c r="D14" s="171"/>
      <c r="E14" s="98">
        <f>Rechner!B39</f>
        <v>440.56845315382748</v>
      </c>
      <c r="F14" s="172" t="s">
        <v>101</v>
      </c>
      <c r="G14" s="172"/>
      <c r="H14" s="173"/>
      <c r="J14" s="93" t="s">
        <v>126</v>
      </c>
      <c r="K14" s="89" t="s">
        <v>170</v>
      </c>
    </row>
    <row r="15" spans="2:16" s="61" customFormat="1" ht="26" customHeight="1" thickBot="1">
      <c r="B15" s="99"/>
      <c r="C15" s="100"/>
      <c r="D15" s="100" t="s">
        <v>173</v>
      </c>
      <c r="E15" s="103">
        <f>E14*365</f>
        <v>160807.48540114702</v>
      </c>
      <c r="F15" s="177" t="s">
        <v>171</v>
      </c>
      <c r="G15" s="177"/>
      <c r="H15" s="178"/>
    </row>
    <row r="16" spans="2:16" s="61" customFormat="1" ht="26" customHeight="1" thickBot="1">
      <c r="B16" s="101"/>
      <c r="C16" s="102"/>
      <c r="D16" s="102" t="s">
        <v>110</v>
      </c>
      <c r="E16" s="103">
        <f>E15*1000/E3</f>
        <v>1608.0748540114701</v>
      </c>
      <c r="F16" s="175" t="s">
        <v>172</v>
      </c>
      <c r="G16" s="175"/>
      <c r="H16" s="176"/>
    </row>
    <row r="17" spans="1:9" s="13" customFormat="1"/>
    <row r="18" spans="1:9" s="13" customFormat="1" ht="66" customHeight="1">
      <c r="B18" s="160" t="s">
        <v>174</v>
      </c>
      <c r="C18" s="160"/>
      <c r="D18" s="160"/>
      <c r="E18" s="160"/>
      <c r="F18" s="160"/>
      <c r="G18" s="160"/>
      <c r="H18" s="160"/>
    </row>
    <row r="19" spans="1:9" s="13" customFormat="1"/>
    <row r="20" spans="1:9" s="13" customFormat="1" ht="32" customHeight="1">
      <c r="B20" s="77" t="s">
        <v>112</v>
      </c>
      <c r="C20" s="78" t="s">
        <v>118</v>
      </c>
      <c r="D20" s="78" t="s">
        <v>119</v>
      </c>
      <c r="E20" s="78" t="s">
        <v>120</v>
      </c>
      <c r="F20" s="78" t="s">
        <v>125</v>
      </c>
      <c r="G20" s="78" t="s">
        <v>121</v>
      </c>
      <c r="H20" s="78" t="s">
        <v>122</v>
      </c>
    </row>
    <row r="21" spans="1:9" s="61" customFormat="1" ht="20" customHeight="1">
      <c r="B21" s="66" t="s">
        <v>113</v>
      </c>
      <c r="C21" s="105">
        <f>Rechner!F27</f>
        <v>84000</v>
      </c>
      <c r="D21" s="76">
        <v>0</v>
      </c>
      <c r="E21" s="105">
        <f>C21+D21</f>
        <v>84000</v>
      </c>
      <c r="F21" s="106">
        <f>D21*Rechner!F14*Rechner!F19/1000000</f>
        <v>0</v>
      </c>
      <c r="G21" s="107">
        <f>(E21-C21)/C21</f>
        <v>0</v>
      </c>
      <c r="H21" s="109">
        <f>E21/SUM($E$21:$E$25)</f>
        <v>0.24</v>
      </c>
    </row>
    <row r="22" spans="1:9" s="61" customFormat="1" ht="20" customHeight="1">
      <c r="B22" s="66" t="s">
        <v>114</v>
      </c>
      <c r="C22" s="105">
        <f>Rechner!G27</f>
        <v>28000</v>
      </c>
      <c r="D22" s="76">
        <v>0</v>
      </c>
      <c r="E22" s="105">
        <f t="shared" ref="E22:E25" si="0">C22+D22</f>
        <v>28000</v>
      </c>
      <c r="F22" s="106">
        <f>D22*Rechner!G14*Rechner!G19/1000000</f>
        <v>0</v>
      </c>
      <c r="G22" s="107">
        <f>(E22-C22)/C22</f>
        <v>0</v>
      </c>
      <c r="H22" s="109">
        <f t="shared" ref="H22:H25" si="1">E22/SUM($E$21:$E$25)</f>
        <v>0.08</v>
      </c>
    </row>
    <row r="23" spans="1:9" s="61" customFormat="1" ht="20" customHeight="1">
      <c r="B23" s="66" t="s">
        <v>117</v>
      </c>
      <c r="C23" s="105">
        <f>Rechner!E27</f>
        <v>94500</v>
      </c>
      <c r="D23" s="76">
        <v>0</v>
      </c>
      <c r="E23" s="105">
        <f t="shared" si="0"/>
        <v>94500</v>
      </c>
      <c r="F23" s="106">
        <f>D23*Rechner!E14*Rechner!E19/1000000</f>
        <v>0</v>
      </c>
      <c r="G23" s="107">
        <f>(E23-C23)/C23</f>
        <v>0</v>
      </c>
      <c r="H23" s="109">
        <f t="shared" si="1"/>
        <v>0.27</v>
      </c>
    </row>
    <row r="24" spans="1:9" s="61" customFormat="1" ht="20" customHeight="1">
      <c r="B24" s="66" t="s">
        <v>115</v>
      </c>
      <c r="C24" s="105">
        <f>Rechner!D27</f>
        <v>45500</v>
      </c>
      <c r="D24" s="76">
        <v>0</v>
      </c>
      <c r="E24" s="105">
        <f t="shared" si="0"/>
        <v>45500</v>
      </c>
      <c r="F24" s="106">
        <f>D24*Rechner!D14*Rechner!D19/1000000</f>
        <v>0</v>
      </c>
      <c r="G24" s="107">
        <f>(E24-C24)/C24</f>
        <v>0</v>
      </c>
      <c r="H24" s="109">
        <f t="shared" si="1"/>
        <v>0.13</v>
      </c>
    </row>
    <row r="25" spans="1:9" s="61" customFormat="1" ht="20" customHeight="1">
      <c r="B25" s="66" t="s">
        <v>116</v>
      </c>
      <c r="C25" s="105">
        <f>Rechner!C27</f>
        <v>98000.000000000015</v>
      </c>
      <c r="D25" s="76">
        <v>0</v>
      </c>
      <c r="E25" s="105">
        <f t="shared" si="0"/>
        <v>98000.000000000015</v>
      </c>
      <c r="F25" s="106">
        <f>D25*Rechner!C14*Rechner!C19/1000000</f>
        <v>0</v>
      </c>
      <c r="G25" s="107">
        <f>(E25-C25)/C25</f>
        <v>0</v>
      </c>
      <c r="H25" s="109">
        <f t="shared" si="1"/>
        <v>0.28000000000000003</v>
      </c>
    </row>
    <row r="26" spans="1:9" s="61" customFormat="1" ht="20" customHeight="1">
      <c r="B26" s="66" t="s">
        <v>123</v>
      </c>
      <c r="C26" s="105">
        <f>SUM(C21:C25)</f>
        <v>350000</v>
      </c>
      <c r="D26" s="105">
        <f>SUM(D21:D25)</f>
        <v>0</v>
      </c>
      <c r="E26" s="105">
        <f>SUM(E21:E25)</f>
        <v>350000</v>
      </c>
      <c r="F26" s="106">
        <f>SUM(F21:F25)</f>
        <v>0</v>
      </c>
      <c r="G26" s="107"/>
      <c r="H26" s="108">
        <f t="shared" ref="H26" si="2">E26/SUM($E$21:$E$25)</f>
        <v>1</v>
      </c>
    </row>
    <row r="27" spans="1:9" s="13" customFormat="1">
      <c r="C27" s="16"/>
      <c r="D27" s="18"/>
      <c r="E27" s="16"/>
      <c r="F27" s="16"/>
      <c r="H27" s="17"/>
    </row>
    <row r="28" spans="1:9" s="61" customFormat="1" ht="20" customHeight="1" thickBot="1">
      <c r="D28" s="72" t="str">
        <f>IF(D26&gt;0,"Sie müssen noch "&amp;D26&amp;" Wege reduzieren.",IF(D26=0,"","Sie müssen noch "&amp;(-1)*D26&amp;" Wege verlagern."))</f>
        <v/>
      </c>
      <c r="E28" s="163" t="s">
        <v>63</v>
      </c>
      <c r="F28" s="163"/>
      <c r="G28" s="67">
        <f>SUM(F21:F25)*-1</f>
        <v>0</v>
      </c>
      <c r="H28" s="68" t="s">
        <v>111</v>
      </c>
    </row>
    <row r="29" spans="1:9" s="61" customFormat="1" ht="20" customHeight="1" thickBot="1">
      <c r="C29" s="162"/>
      <c r="D29" s="162"/>
      <c r="E29" s="163" t="s">
        <v>61</v>
      </c>
      <c r="F29" s="163"/>
      <c r="G29" s="104">
        <f>(SUM(F21:F25))/E14*-1</f>
        <v>0</v>
      </c>
      <c r="H29" s="68" t="s">
        <v>62</v>
      </c>
    </row>
    <row r="30" spans="1:9" s="61" customFormat="1" ht="20" customHeight="1">
      <c r="A30" s="69"/>
      <c r="B30" s="69"/>
      <c r="C30" s="70"/>
      <c r="D30" s="70"/>
      <c r="E30" s="71"/>
      <c r="F30" s="71"/>
      <c r="G30" s="73" t="str">
        <f>IF($G$28&gt;=($E$14*0.4),"Sie haben eine CO2-Strategie für das 40%-Einsparziel entwickelt!","Das reicht leider noch nicht für das 40%-Ziel.")</f>
        <v>Das reicht leider noch nicht für das 40%-Ziel.</v>
      </c>
      <c r="H30" s="71"/>
      <c r="I30" s="69"/>
    </row>
    <row r="31" spans="1:9" s="13" customFormat="1">
      <c r="A31" s="19"/>
      <c r="B31" s="19"/>
      <c r="C31" s="19"/>
      <c r="D31" s="19"/>
      <c r="E31" s="20"/>
      <c r="F31" s="19"/>
      <c r="G31" s="19"/>
      <c r="H31" s="19"/>
      <c r="I31" s="19"/>
    </row>
    <row r="32" spans="1:9" s="13" customFormat="1" ht="29.25" customHeight="1">
      <c r="A32" s="19"/>
      <c r="B32" s="174" t="s">
        <v>68</v>
      </c>
      <c r="C32" s="174"/>
      <c r="D32" s="174"/>
      <c r="E32" s="174"/>
      <c r="F32" s="174"/>
      <c r="G32" s="174"/>
      <c r="H32" s="174"/>
      <c r="I32" s="19"/>
    </row>
    <row r="33" spans="1:9" s="13" customFormat="1">
      <c r="A33" s="18"/>
      <c r="B33" s="18"/>
      <c r="C33" s="18"/>
      <c r="D33" s="18"/>
      <c r="I33" s="18"/>
    </row>
    <row r="34" spans="1:9" s="13" customFormat="1">
      <c r="C34" s="18"/>
      <c r="D34" s="18"/>
    </row>
  </sheetData>
  <protectedRanges>
    <protectedRange sqref="E3 J11:J14" name="Einwohnerzahl"/>
    <protectedRange sqref="D21:D25" name="Wegeverlagerung"/>
    <protectedRange sqref="C8:G8" name="Modal Split"/>
  </protectedRanges>
  <mergeCells count="18">
    <mergeCell ref="B32:H32"/>
    <mergeCell ref="B13:D13"/>
    <mergeCell ref="B14:D14"/>
    <mergeCell ref="F14:H14"/>
    <mergeCell ref="B18:H18"/>
    <mergeCell ref="F16:H16"/>
    <mergeCell ref="F15:H15"/>
    <mergeCell ref="C29:D29"/>
    <mergeCell ref="J7:P7"/>
    <mergeCell ref="B1:H1"/>
    <mergeCell ref="B5:H5"/>
    <mergeCell ref="E28:F28"/>
    <mergeCell ref="E29:F29"/>
    <mergeCell ref="B3:D3"/>
    <mergeCell ref="B11:D11"/>
    <mergeCell ref="F11:H11"/>
    <mergeCell ref="B12:D12"/>
    <mergeCell ref="F12:H12"/>
  </mergeCells>
  <phoneticPr fontId="8" type="noConversion"/>
  <conditionalFormatting sqref="H8">
    <cfRule type="cellIs" dxfId="1" priority="2" operator="notEqual">
      <formula>100</formula>
    </cfRule>
    <cfRule type="cellIs" dxfId="0" priority="3" operator="equal">
      <formula>100</formula>
    </cfRule>
  </conditionalFormatting>
  <conditionalFormatting sqref="G29">
    <cfRule type="colorScale" priority="1">
      <colorScale>
        <cfvo type="num" val="0"/>
        <cfvo type="num" val="0.25"/>
        <cfvo type="num" val="0.5"/>
        <color rgb="FFFF0000"/>
        <color rgb="FFFFEB84"/>
        <color rgb="FF22A112"/>
      </colorScale>
    </cfRule>
  </conditionalFormatting>
  <pageMargins left="0.7" right="0.7" top="0.78740157499999996" bottom="0.78740157499999996" header="0.3" footer="0.3"/>
  <pageSetup paperSize="9" scale="75" orientation="portrait"/>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F48" sqref="F48"/>
    </sheetView>
  </sheetViews>
  <sheetFormatPr baseColWidth="10" defaultRowHeight="14" x14ac:dyDescent="0"/>
  <cols>
    <col min="1" max="2" width="11.6640625" style="82" customWidth="1"/>
    <col min="3" max="7" width="11.6640625" style="139" customWidth="1"/>
    <col min="8" max="9" width="11.6640625" style="82" customWidth="1"/>
    <col min="10" max="10" width="11.6640625" style="83" customWidth="1"/>
    <col min="11" max="16384" width="10.83203125" style="82"/>
  </cols>
  <sheetData>
    <row r="1" spans="1:10">
      <c r="A1" s="179" t="s">
        <v>191</v>
      </c>
      <c r="B1" s="179"/>
      <c r="C1" s="179"/>
      <c r="D1" s="179"/>
      <c r="E1" s="179"/>
      <c r="F1" s="179"/>
      <c r="G1" s="179"/>
      <c r="H1" s="179"/>
      <c r="I1" s="179"/>
      <c r="J1" s="179"/>
    </row>
    <row r="2" spans="1:10" ht="30" customHeight="1">
      <c r="A2" s="179"/>
      <c r="B2" s="179"/>
      <c r="C2" s="179"/>
      <c r="D2" s="179"/>
      <c r="E2" s="179"/>
      <c r="F2" s="179"/>
      <c r="G2" s="179"/>
      <c r="H2" s="179"/>
      <c r="I2" s="179"/>
      <c r="J2" s="179"/>
    </row>
    <row r="3" spans="1:10" ht="46" customHeight="1">
      <c r="A3" s="140" t="s">
        <v>136</v>
      </c>
      <c r="B3" s="140" t="s">
        <v>185</v>
      </c>
      <c r="C3" s="140" t="s">
        <v>186</v>
      </c>
      <c r="D3" s="140" t="s">
        <v>187</v>
      </c>
      <c r="E3" s="140" t="s">
        <v>188</v>
      </c>
      <c r="F3" s="140" t="s">
        <v>189</v>
      </c>
      <c r="G3" s="140" t="s">
        <v>192</v>
      </c>
      <c r="H3" s="140" t="s">
        <v>184</v>
      </c>
      <c r="I3" s="140" t="s">
        <v>153</v>
      </c>
      <c r="J3" s="140" t="s">
        <v>164</v>
      </c>
    </row>
    <row r="4" spans="1:10" s="148" customFormat="1" ht="16" customHeight="1">
      <c r="A4" s="141" t="s">
        <v>137</v>
      </c>
      <c r="B4" s="142">
        <v>3470000</v>
      </c>
      <c r="C4" s="143">
        <v>28</v>
      </c>
      <c r="D4" s="143">
        <v>13</v>
      </c>
      <c r="E4" s="143">
        <v>27</v>
      </c>
      <c r="F4" s="143">
        <f t="shared" ref="F4:F19" si="0">F27/4*3</f>
        <v>24</v>
      </c>
      <c r="G4" s="144">
        <f>100-SUM(C4:F4)</f>
        <v>8</v>
      </c>
      <c r="H4" s="145">
        <f t="shared" ref="H4:H13" si="1">SUM(C4:G4)</f>
        <v>100</v>
      </c>
      <c r="I4" s="146">
        <v>1.4530000000000001</v>
      </c>
      <c r="J4" s="147">
        <f t="shared" ref="J4:J19" si="2">B4*I4</f>
        <v>5041910</v>
      </c>
    </row>
    <row r="5" spans="1:10" s="148" customFormat="1" ht="16" customHeight="1">
      <c r="A5" s="141" t="s">
        <v>142</v>
      </c>
      <c r="B5" s="142">
        <v>551767</v>
      </c>
      <c r="C5" s="143">
        <v>21</v>
      </c>
      <c r="D5" s="143">
        <v>25</v>
      </c>
      <c r="E5" s="143">
        <v>14</v>
      </c>
      <c r="F5" s="143">
        <f t="shared" si="0"/>
        <v>30</v>
      </c>
      <c r="G5" s="144">
        <f t="shared" ref="G5:G19" si="3">100-SUM(C5:F5)</f>
        <v>10</v>
      </c>
      <c r="H5" s="145">
        <f t="shared" si="1"/>
        <v>100</v>
      </c>
      <c r="I5" s="146">
        <v>1.4770000000000001</v>
      </c>
      <c r="J5" s="147">
        <f t="shared" si="2"/>
        <v>814959.85900000005</v>
      </c>
    </row>
    <row r="6" spans="1:10" s="148" customFormat="1" ht="16" customHeight="1">
      <c r="A6" s="141" t="s">
        <v>144</v>
      </c>
      <c r="B6" s="142">
        <v>536308</v>
      </c>
      <c r="C6" s="143">
        <v>21.8</v>
      </c>
      <c r="D6" s="143">
        <v>16</v>
      </c>
      <c r="E6" s="143">
        <v>21</v>
      </c>
      <c r="F6" s="143">
        <f t="shared" si="0"/>
        <v>30.974999999999998</v>
      </c>
      <c r="G6" s="144">
        <f t="shared" si="3"/>
        <v>10.225000000000009</v>
      </c>
      <c r="H6" s="145">
        <f t="shared" si="1"/>
        <v>100</v>
      </c>
      <c r="I6" s="146">
        <v>1.64</v>
      </c>
      <c r="J6" s="147">
        <f t="shared" si="2"/>
        <v>879545.12</v>
      </c>
    </row>
    <row r="7" spans="1:10" s="148" customFormat="1" ht="16" customHeight="1">
      <c r="A7" s="141" t="s">
        <v>140</v>
      </c>
      <c r="B7" s="142">
        <v>604527</v>
      </c>
      <c r="C7" s="143">
        <v>31.4</v>
      </c>
      <c r="D7" s="143">
        <v>12.5</v>
      </c>
      <c r="E7" s="143">
        <v>22.1</v>
      </c>
      <c r="F7" s="143">
        <f t="shared" si="0"/>
        <v>25.200000000000003</v>
      </c>
      <c r="G7" s="144">
        <f t="shared" si="3"/>
        <v>8.7999999999999972</v>
      </c>
      <c r="H7" s="145">
        <f t="shared" si="1"/>
        <v>100</v>
      </c>
      <c r="I7" s="146">
        <v>1.42</v>
      </c>
      <c r="J7" s="147">
        <f t="shared" si="2"/>
        <v>858428.34</v>
      </c>
    </row>
    <row r="8" spans="1:10" s="148" customFormat="1" ht="16" customHeight="1">
      <c r="A8" s="141" t="s">
        <v>149</v>
      </c>
      <c r="B8" s="142">
        <v>206219</v>
      </c>
      <c r="C8" s="143">
        <v>28.5</v>
      </c>
      <c r="D8" s="143">
        <v>8.3000000000000007</v>
      </c>
      <c r="E8" s="143">
        <v>23.8</v>
      </c>
      <c r="F8" s="143">
        <f t="shared" si="0"/>
        <v>29.549999999999997</v>
      </c>
      <c r="G8" s="144">
        <f t="shared" si="3"/>
        <v>9.8500000000000085</v>
      </c>
      <c r="H8" s="145">
        <f t="shared" si="1"/>
        <v>100</v>
      </c>
      <c r="I8" s="146">
        <v>1.8069999999999999</v>
      </c>
      <c r="J8" s="147">
        <f t="shared" si="2"/>
        <v>372637.73300000001</v>
      </c>
    </row>
    <row r="9" spans="1:10" s="148" customFormat="1" ht="16" customHeight="1">
      <c r="A9" s="141" t="s">
        <v>138</v>
      </c>
      <c r="B9" s="142">
        <v>1763000</v>
      </c>
      <c r="C9" s="143">
        <v>28</v>
      </c>
      <c r="D9" s="143">
        <v>12</v>
      </c>
      <c r="E9" s="143">
        <v>18</v>
      </c>
      <c r="F9" s="143">
        <f t="shared" si="0"/>
        <v>31.5</v>
      </c>
      <c r="G9" s="144">
        <f t="shared" si="3"/>
        <v>10.5</v>
      </c>
      <c r="H9" s="145">
        <f t="shared" si="1"/>
        <v>100</v>
      </c>
      <c r="I9" s="146">
        <v>1.45</v>
      </c>
      <c r="J9" s="147">
        <f t="shared" si="2"/>
        <v>2556350</v>
      </c>
    </row>
    <row r="10" spans="1:10" s="148" customFormat="1" ht="16" customHeight="1">
      <c r="A10" s="141" t="s">
        <v>143</v>
      </c>
      <c r="B10" s="142">
        <v>523642</v>
      </c>
      <c r="C10" s="143">
        <v>25</v>
      </c>
      <c r="D10" s="143">
        <v>19</v>
      </c>
      <c r="E10" s="143">
        <v>19</v>
      </c>
      <c r="F10" s="143">
        <f t="shared" si="0"/>
        <v>28.5</v>
      </c>
      <c r="G10" s="144">
        <f t="shared" si="3"/>
        <v>8.5</v>
      </c>
      <c r="H10" s="145">
        <f t="shared" si="1"/>
        <v>100</v>
      </c>
      <c r="I10" s="146">
        <v>1.5009999999999999</v>
      </c>
      <c r="J10" s="147">
        <f t="shared" si="2"/>
        <v>785986.64199999999</v>
      </c>
    </row>
    <row r="11" spans="1:10" s="148" customFormat="1" ht="16" customHeight="1">
      <c r="A11" s="141" t="s">
        <v>145</v>
      </c>
      <c r="B11" s="142">
        <v>243148</v>
      </c>
      <c r="C11" s="143">
        <v>28.2</v>
      </c>
      <c r="D11" s="143">
        <v>20.7</v>
      </c>
      <c r="E11" s="143">
        <v>9.8000000000000007</v>
      </c>
      <c r="F11" s="143">
        <f t="shared" si="0"/>
        <v>30.974999999999998</v>
      </c>
      <c r="G11" s="144">
        <f t="shared" si="3"/>
        <v>10.325000000000003</v>
      </c>
      <c r="H11" s="145">
        <f t="shared" si="1"/>
        <v>100</v>
      </c>
      <c r="I11" s="146">
        <v>1.609</v>
      </c>
      <c r="J11" s="147">
        <f t="shared" si="2"/>
        <v>391225.13199999998</v>
      </c>
    </row>
    <row r="12" spans="1:10" s="148" customFormat="1" ht="16" customHeight="1">
      <c r="A12" s="141" t="s">
        <v>148</v>
      </c>
      <c r="B12" s="142">
        <v>232306</v>
      </c>
      <c r="C12" s="143">
        <v>20.9</v>
      </c>
      <c r="D12" s="143">
        <v>9.8000000000000007</v>
      </c>
      <c r="E12" s="143">
        <v>20.7</v>
      </c>
      <c r="F12" s="143">
        <f t="shared" si="0"/>
        <v>34.125</v>
      </c>
      <c r="G12" s="144">
        <f t="shared" si="3"/>
        <v>14.474999999999994</v>
      </c>
      <c r="H12" s="145">
        <f t="shared" si="1"/>
        <v>100</v>
      </c>
      <c r="I12" s="146">
        <v>1.966</v>
      </c>
      <c r="J12" s="147">
        <f t="shared" si="2"/>
        <v>456713.59600000002</v>
      </c>
    </row>
    <row r="13" spans="1:10" s="148" customFormat="1" ht="16" customHeight="1">
      <c r="A13" s="141" t="s">
        <v>151</v>
      </c>
      <c r="B13" s="142">
        <v>206991</v>
      </c>
      <c r="C13" s="143">
        <v>34.4</v>
      </c>
      <c r="D13" s="143">
        <v>11.6</v>
      </c>
      <c r="E13" s="143">
        <v>19.2</v>
      </c>
      <c r="F13" s="143">
        <f t="shared" si="0"/>
        <v>26.099999999999998</v>
      </c>
      <c r="G13" s="144">
        <f t="shared" si="3"/>
        <v>8.7000000000000028</v>
      </c>
      <c r="H13" s="145">
        <f t="shared" si="1"/>
        <v>100</v>
      </c>
      <c r="I13" s="146">
        <v>1.5620000000000001</v>
      </c>
      <c r="J13" s="147">
        <f t="shared" si="2"/>
        <v>323319.94200000004</v>
      </c>
    </row>
    <row r="14" spans="1:10" s="148" customFormat="1" ht="16" customHeight="1">
      <c r="A14" s="141" t="s">
        <v>139</v>
      </c>
      <c r="B14" s="142">
        <v>1430000</v>
      </c>
      <c r="C14" s="143">
        <v>27.2</v>
      </c>
      <c r="D14" s="143">
        <v>17.399999999999999</v>
      </c>
      <c r="E14" s="143">
        <v>22.8</v>
      </c>
      <c r="F14" s="143">
        <f t="shared" si="0"/>
        <v>24.375</v>
      </c>
      <c r="G14" s="144">
        <f t="shared" si="3"/>
        <v>8.2250000000000085</v>
      </c>
      <c r="H14" s="145">
        <f t="shared" ref="H14" si="4">SUM(C14:G14)</f>
        <v>100</v>
      </c>
      <c r="I14" s="146">
        <v>1.397</v>
      </c>
      <c r="J14" s="147">
        <f t="shared" si="2"/>
        <v>1997710</v>
      </c>
    </row>
    <row r="15" spans="1:10" s="148" customFormat="1" ht="16" customHeight="1">
      <c r="A15" s="141" t="s">
        <v>147</v>
      </c>
      <c r="B15" s="142">
        <v>164042</v>
      </c>
      <c r="C15" s="143">
        <v>23.8</v>
      </c>
      <c r="D15" s="143">
        <v>20.100000000000001</v>
      </c>
      <c r="E15" s="143">
        <v>19.3</v>
      </c>
      <c r="F15" s="143">
        <f t="shared" si="0"/>
        <v>27.299999999999997</v>
      </c>
      <c r="G15" s="144">
        <f t="shared" si="3"/>
        <v>9.5</v>
      </c>
      <c r="H15" s="145">
        <f>SUM(C15:G15)</f>
        <v>100</v>
      </c>
      <c r="I15" s="146">
        <v>1.62</v>
      </c>
      <c r="J15" s="147">
        <f t="shared" si="2"/>
        <v>265748.04000000004</v>
      </c>
    </row>
    <row r="16" spans="1:10" s="148" customFormat="1" ht="16" customHeight="1">
      <c r="A16" s="141" t="s">
        <v>152</v>
      </c>
      <c r="B16" s="142">
        <v>176926</v>
      </c>
      <c r="C16" s="143">
        <v>23</v>
      </c>
      <c r="D16" s="143">
        <v>4</v>
      </c>
      <c r="E16" s="143">
        <v>17</v>
      </c>
      <c r="F16" s="143">
        <f t="shared" si="0"/>
        <v>42</v>
      </c>
      <c r="G16" s="144">
        <f t="shared" si="3"/>
        <v>14</v>
      </c>
      <c r="H16" s="145">
        <f>SUM(C16:G16)</f>
        <v>100</v>
      </c>
      <c r="I16" s="146">
        <v>2.2509999999999999</v>
      </c>
      <c r="J16" s="147">
        <f t="shared" si="2"/>
        <v>398260.42599999998</v>
      </c>
    </row>
    <row r="17" spans="1:10" s="148" customFormat="1" ht="16" customHeight="1">
      <c r="A17" s="141" t="s">
        <v>146</v>
      </c>
      <c r="B17" s="142">
        <v>102878</v>
      </c>
      <c r="C17" s="143">
        <v>30</v>
      </c>
      <c r="D17" s="143">
        <v>9</v>
      </c>
      <c r="E17" s="143">
        <v>17</v>
      </c>
      <c r="F17" s="143">
        <f t="shared" si="0"/>
        <v>33</v>
      </c>
      <c r="G17" s="144">
        <f t="shared" si="3"/>
        <v>11</v>
      </c>
      <c r="H17" s="145">
        <f>SUM(C17:G17)</f>
        <v>100</v>
      </c>
      <c r="I17" s="146">
        <v>1.837</v>
      </c>
      <c r="J17" s="147">
        <f t="shared" si="2"/>
        <v>188986.886</v>
      </c>
    </row>
    <row r="18" spans="1:10" s="148" customFormat="1" ht="16" customHeight="1">
      <c r="A18" s="141" t="s">
        <v>141</v>
      </c>
      <c r="B18" s="142">
        <v>612441</v>
      </c>
      <c r="C18" s="143">
        <v>26</v>
      </c>
      <c r="D18" s="143">
        <v>5</v>
      </c>
      <c r="E18" s="143">
        <v>24</v>
      </c>
      <c r="F18" s="143">
        <f t="shared" si="0"/>
        <v>33.75</v>
      </c>
      <c r="G18" s="144">
        <f t="shared" si="3"/>
        <v>11.25</v>
      </c>
      <c r="H18" s="145">
        <f>SUM(C18:G18)</f>
        <v>100</v>
      </c>
      <c r="I18" s="146">
        <v>1.806</v>
      </c>
      <c r="J18" s="147">
        <f t="shared" si="2"/>
        <v>1106068.446</v>
      </c>
    </row>
    <row r="19" spans="1:10" s="148" customFormat="1" ht="16" customHeight="1">
      <c r="A19" s="141" t="s">
        <v>150</v>
      </c>
      <c r="B19" s="142">
        <v>275116</v>
      </c>
      <c r="C19" s="143">
        <v>25</v>
      </c>
      <c r="D19" s="143">
        <v>3</v>
      </c>
      <c r="E19" s="143">
        <v>15</v>
      </c>
      <c r="F19" s="143">
        <f t="shared" si="0"/>
        <v>42</v>
      </c>
      <c r="G19" s="144">
        <f t="shared" si="3"/>
        <v>15</v>
      </c>
      <c r="H19" s="145">
        <f>SUM(C19:G19)</f>
        <v>100</v>
      </c>
      <c r="I19" s="146">
        <v>2.2160000000000002</v>
      </c>
      <c r="J19" s="147">
        <f t="shared" si="2"/>
        <v>609657.0560000001</v>
      </c>
    </row>
    <row r="21" spans="1:10">
      <c r="A21" s="136" t="s">
        <v>209</v>
      </c>
    </row>
    <row r="22" spans="1:10">
      <c r="A22" s="136" t="s">
        <v>208</v>
      </c>
    </row>
    <row r="23" spans="1:10" ht="46" customHeight="1">
      <c r="A23" s="180" t="s">
        <v>193</v>
      </c>
      <c r="B23" s="180"/>
      <c r="C23" s="180"/>
      <c r="D23" s="180"/>
      <c r="E23" s="180"/>
      <c r="F23" s="180"/>
      <c r="G23" s="180"/>
      <c r="H23" s="180"/>
      <c r="I23" s="180"/>
      <c r="J23" s="180"/>
    </row>
    <row r="24" spans="1:10">
      <c r="A24" s="136"/>
      <c r="B24" s="87"/>
    </row>
    <row r="25" spans="1:10" ht="32" customHeight="1">
      <c r="A25" s="181" t="s">
        <v>194</v>
      </c>
      <c r="B25" s="181"/>
      <c r="C25" s="181"/>
      <c r="D25" s="181"/>
      <c r="E25" s="181"/>
      <c r="F25" s="181"/>
      <c r="G25" s="181"/>
      <c r="H25" s="181"/>
      <c r="I25" s="181"/>
      <c r="J25" s="181"/>
    </row>
    <row r="26" spans="1:10" s="81" customFormat="1" ht="43" customHeight="1">
      <c r="A26" s="140" t="s">
        <v>136</v>
      </c>
      <c r="B26" s="140" t="s">
        <v>185</v>
      </c>
      <c r="C26" s="140" t="s">
        <v>186</v>
      </c>
      <c r="D26" s="140" t="s">
        <v>187</v>
      </c>
      <c r="E26" s="140" t="s">
        <v>188</v>
      </c>
      <c r="F26" s="140" t="s">
        <v>189</v>
      </c>
      <c r="G26" s="140" t="s">
        <v>190</v>
      </c>
      <c r="H26" s="140" t="s">
        <v>184</v>
      </c>
    </row>
    <row r="27" spans="1:10">
      <c r="A27" s="137" t="s">
        <v>137</v>
      </c>
      <c r="B27" s="196">
        <v>3470000</v>
      </c>
      <c r="C27" s="197">
        <v>28</v>
      </c>
      <c r="D27" s="197">
        <v>13</v>
      </c>
      <c r="E27" s="197">
        <v>27</v>
      </c>
      <c r="F27" s="197">
        <v>32</v>
      </c>
      <c r="G27" s="197"/>
      <c r="H27" s="138">
        <f t="shared" ref="H27:H42" si="5">SUM(C27:F27)</f>
        <v>100</v>
      </c>
      <c r="J27" s="82"/>
    </row>
    <row r="28" spans="1:10">
      <c r="A28" s="137" t="s">
        <v>142</v>
      </c>
      <c r="B28" s="196">
        <v>551767</v>
      </c>
      <c r="C28" s="197">
        <v>21</v>
      </c>
      <c r="D28" s="197">
        <v>25</v>
      </c>
      <c r="E28" s="197">
        <v>14</v>
      </c>
      <c r="F28" s="197">
        <v>40</v>
      </c>
      <c r="G28" s="197"/>
      <c r="H28" s="138">
        <f t="shared" si="5"/>
        <v>100</v>
      </c>
      <c r="J28" s="82"/>
    </row>
    <row r="29" spans="1:10">
      <c r="A29" s="137" t="s">
        <v>144</v>
      </c>
      <c r="B29" s="196">
        <v>536308</v>
      </c>
      <c r="C29" s="197">
        <v>21.8</v>
      </c>
      <c r="D29" s="197">
        <v>16</v>
      </c>
      <c r="E29" s="197">
        <v>21</v>
      </c>
      <c r="F29" s="197">
        <v>41.3</v>
      </c>
      <c r="G29" s="197"/>
      <c r="H29" s="138">
        <f t="shared" si="5"/>
        <v>100.1</v>
      </c>
      <c r="J29" s="82"/>
    </row>
    <row r="30" spans="1:10">
      <c r="A30" s="137" t="s">
        <v>140</v>
      </c>
      <c r="B30" s="196">
        <v>604527</v>
      </c>
      <c r="C30" s="197">
        <v>31.4</v>
      </c>
      <c r="D30" s="197">
        <v>12.5</v>
      </c>
      <c r="E30" s="197">
        <v>22.1</v>
      </c>
      <c r="F30" s="197">
        <v>33.6</v>
      </c>
      <c r="G30" s="197"/>
      <c r="H30" s="138">
        <f t="shared" si="5"/>
        <v>99.6</v>
      </c>
      <c r="J30" s="82"/>
    </row>
    <row r="31" spans="1:10">
      <c r="A31" s="137" t="s">
        <v>149</v>
      </c>
      <c r="B31" s="196">
        <v>206219</v>
      </c>
      <c r="C31" s="197">
        <v>28.5</v>
      </c>
      <c r="D31" s="197">
        <v>8.3000000000000007</v>
      </c>
      <c r="E31" s="197">
        <v>23.8</v>
      </c>
      <c r="F31" s="197">
        <v>39.4</v>
      </c>
      <c r="G31" s="197"/>
      <c r="H31" s="138">
        <f t="shared" si="5"/>
        <v>100</v>
      </c>
      <c r="J31" s="82"/>
    </row>
    <row r="32" spans="1:10">
      <c r="A32" s="137" t="s">
        <v>138</v>
      </c>
      <c r="B32" s="196">
        <v>1763000</v>
      </c>
      <c r="C32" s="197">
        <v>28</v>
      </c>
      <c r="D32" s="197">
        <v>12</v>
      </c>
      <c r="E32" s="197">
        <v>18</v>
      </c>
      <c r="F32" s="197">
        <v>42</v>
      </c>
      <c r="G32" s="197"/>
      <c r="H32" s="138">
        <f t="shared" si="5"/>
        <v>100</v>
      </c>
      <c r="J32" s="82"/>
    </row>
    <row r="33" spans="1:10">
      <c r="A33" s="137" t="s">
        <v>143</v>
      </c>
      <c r="B33" s="196">
        <v>523642</v>
      </c>
      <c r="C33" s="197">
        <v>25</v>
      </c>
      <c r="D33" s="197">
        <v>19</v>
      </c>
      <c r="E33" s="197">
        <v>19</v>
      </c>
      <c r="F33" s="197">
        <v>38</v>
      </c>
      <c r="G33" s="197"/>
      <c r="H33" s="138">
        <f t="shared" si="5"/>
        <v>101</v>
      </c>
      <c r="J33" s="82"/>
    </row>
    <row r="34" spans="1:10">
      <c r="A34" s="137" t="s">
        <v>145</v>
      </c>
      <c r="B34" s="196">
        <v>243148</v>
      </c>
      <c r="C34" s="197">
        <v>28.2</v>
      </c>
      <c r="D34" s="197">
        <v>20.7</v>
      </c>
      <c r="E34" s="197">
        <v>9.8000000000000007</v>
      </c>
      <c r="F34" s="197">
        <v>41.3</v>
      </c>
      <c r="G34" s="197"/>
      <c r="H34" s="138">
        <f t="shared" si="5"/>
        <v>100</v>
      </c>
      <c r="J34" s="82"/>
    </row>
    <row r="35" spans="1:10">
      <c r="A35" s="137" t="s">
        <v>148</v>
      </c>
      <c r="B35" s="196">
        <v>232306</v>
      </c>
      <c r="C35" s="197">
        <v>20.9</v>
      </c>
      <c r="D35" s="197">
        <v>9.8000000000000007</v>
      </c>
      <c r="E35" s="197">
        <v>20.7</v>
      </c>
      <c r="F35" s="197">
        <v>45.5</v>
      </c>
      <c r="G35" s="197"/>
      <c r="H35" s="138">
        <f t="shared" si="5"/>
        <v>96.9</v>
      </c>
      <c r="J35" s="82"/>
    </row>
    <row r="36" spans="1:10">
      <c r="A36" s="137" t="s">
        <v>151</v>
      </c>
      <c r="B36" s="196">
        <v>206991</v>
      </c>
      <c r="C36" s="197">
        <v>34.4</v>
      </c>
      <c r="D36" s="197">
        <v>11.6</v>
      </c>
      <c r="E36" s="197">
        <v>19.2</v>
      </c>
      <c r="F36" s="197">
        <v>34.799999999999997</v>
      </c>
      <c r="G36" s="197"/>
      <c r="H36" s="138">
        <f t="shared" si="5"/>
        <v>100</v>
      </c>
      <c r="J36" s="82"/>
    </row>
    <row r="37" spans="1:10">
      <c r="A37" s="137" t="s">
        <v>139</v>
      </c>
      <c r="B37" s="196">
        <v>1430000</v>
      </c>
      <c r="C37" s="197">
        <v>27.2</v>
      </c>
      <c r="D37" s="197">
        <v>17.399999999999999</v>
      </c>
      <c r="E37" s="197">
        <v>22.8</v>
      </c>
      <c r="F37" s="197">
        <v>32.5</v>
      </c>
      <c r="G37" s="197"/>
      <c r="H37" s="138">
        <f t="shared" si="5"/>
        <v>99.899999999999991</v>
      </c>
      <c r="J37" s="82"/>
    </row>
    <row r="38" spans="1:10">
      <c r="A38" s="137" t="s">
        <v>147</v>
      </c>
      <c r="B38" s="196">
        <v>164042</v>
      </c>
      <c r="C38" s="197">
        <v>23.8</v>
      </c>
      <c r="D38" s="197">
        <v>20.100000000000001</v>
      </c>
      <c r="E38" s="197">
        <v>19.3</v>
      </c>
      <c r="F38" s="197">
        <v>36.4</v>
      </c>
      <c r="G38" s="197"/>
      <c r="H38" s="138">
        <f t="shared" si="5"/>
        <v>99.6</v>
      </c>
      <c r="J38" s="82"/>
    </row>
    <row r="39" spans="1:10">
      <c r="A39" s="137" t="s">
        <v>152</v>
      </c>
      <c r="B39" s="196">
        <v>176926</v>
      </c>
      <c r="C39" s="197">
        <v>23</v>
      </c>
      <c r="D39" s="197">
        <v>4</v>
      </c>
      <c r="E39" s="197">
        <v>17</v>
      </c>
      <c r="F39" s="197">
        <v>56</v>
      </c>
      <c r="G39" s="197"/>
      <c r="H39" s="138">
        <f t="shared" si="5"/>
        <v>100</v>
      </c>
      <c r="J39" s="82"/>
    </row>
    <row r="40" spans="1:10">
      <c r="A40" s="137" t="s">
        <v>146</v>
      </c>
      <c r="B40" s="196">
        <v>102878</v>
      </c>
      <c r="C40" s="197">
        <v>30</v>
      </c>
      <c r="D40" s="197">
        <v>9</v>
      </c>
      <c r="E40" s="197">
        <v>17</v>
      </c>
      <c r="F40" s="197">
        <v>44</v>
      </c>
      <c r="G40" s="197"/>
      <c r="H40" s="138">
        <f t="shared" si="5"/>
        <v>100</v>
      </c>
      <c r="J40" s="82"/>
    </row>
    <row r="41" spans="1:10">
      <c r="A41" s="137" t="s">
        <v>141</v>
      </c>
      <c r="B41" s="196">
        <v>612441</v>
      </c>
      <c r="C41" s="197">
        <v>26</v>
      </c>
      <c r="D41" s="197">
        <v>5</v>
      </c>
      <c r="E41" s="197">
        <v>24</v>
      </c>
      <c r="F41" s="197">
        <v>45</v>
      </c>
      <c r="G41" s="197"/>
      <c r="H41" s="138">
        <f t="shared" si="5"/>
        <v>100</v>
      </c>
      <c r="J41" s="82"/>
    </row>
    <row r="42" spans="1:10">
      <c r="A42" s="137" t="s">
        <v>150</v>
      </c>
      <c r="B42" s="196">
        <v>275116</v>
      </c>
      <c r="C42" s="197">
        <v>25</v>
      </c>
      <c r="D42" s="197">
        <v>3</v>
      </c>
      <c r="E42" s="197">
        <v>15</v>
      </c>
      <c r="F42" s="197">
        <v>56</v>
      </c>
      <c r="G42" s="197"/>
      <c r="H42" s="138">
        <f t="shared" si="5"/>
        <v>99</v>
      </c>
      <c r="J42" s="82"/>
    </row>
    <row r="43" spans="1:10">
      <c r="B43" s="87"/>
      <c r="J43" s="82"/>
    </row>
    <row r="44" spans="1:10" ht="15">
      <c r="A44" s="195" t="s">
        <v>126</v>
      </c>
      <c r="B44" s="89" t="s">
        <v>124</v>
      </c>
    </row>
    <row r="45" spans="1:10" ht="15">
      <c r="A45" s="91" t="s">
        <v>126</v>
      </c>
      <c r="B45" s="89" t="s">
        <v>168</v>
      </c>
    </row>
    <row r="46" spans="1:10" ht="15">
      <c r="A46" s="92" t="s">
        <v>126</v>
      </c>
      <c r="B46" s="89" t="s">
        <v>169</v>
      </c>
    </row>
    <row r="47" spans="1:10" ht="15">
      <c r="A47" s="93" t="s">
        <v>126</v>
      </c>
      <c r="B47" s="89" t="s">
        <v>170</v>
      </c>
    </row>
  </sheetData>
  <autoFilter ref="A3:J3"/>
  <sortState ref="A39:K53">
    <sortCondition ref="A38"/>
  </sortState>
  <mergeCells count="3">
    <mergeCell ref="A1:J2"/>
    <mergeCell ref="A23:J23"/>
    <mergeCell ref="A25:J2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K36" sqref="K36"/>
    </sheetView>
  </sheetViews>
  <sheetFormatPr baseColWidth="10" defaultRowHeight="14" x14ac:dyDescent="0"/>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election activeCell="A24" sqref="A24"/>
    </sheetView>
  </sheetViews>
  <sheetFormatPr baseColWidth="10" defaultRowHeight="14" x14ac:dyDescent="0"/>
  <cols>
    <col min="1" max="1" width="15.5" customWidth="1"/>
    <col min="2" max="2" width="11" style="57" bestFit="1" customWidth="1"/>
    <col min="3" max="3" width="90.1640625" customWidth="1"/>
  </cols>
  <sheetData>
    <row r="1" spans="1:3" s="59" customFormat="1" ht="24" customHeight="1">
      <c r="A1" s="113" t="s">
        <v>15</v>
      </c>
      <c r="B1" s="114" t="s">
        <v>16</v>
      </c>
      <c r="C1" s="115" t="s">
        <v>175</v>
      </c>
    </row>
    <row r="2" spans="1:3" s="59" customFormat="1" ht="64" customHeight="1">
      <c r="A2" s="88" t="s">
        <v>17</v>
      </c>
      <c r="B2" s="110">
        <v>0</v>
      </c>
      <c r="C2" s="111"/>
    </row>
    <row r="3" spans="1:3" s="59" customFormat="1" ht="64" customHeight="1">
      <c r="A3" s="88" t="s">
        <v>18</v>
      </c>
      <c r="B3" s="110">
        <v>0</v>
      </c>
      <c r="C3" s="111"/>
    </row>
    <row r="4" spans="1:3" s="59" customFormat="1" ht="64" customHeight="1">
      <c r="A4" s="88" t="s">
        <v>19</v>
      </c>
      <c r="B4" s="110">
        <f>(74+72+74)/3</f>
        <v>73.333333333333329</v>
      </c>
      <c r="C4" s="111" t="s">
        <v>103</v>
      </c>
    </row>
    <row r="5" spans="1:3" s="59" customFormat="1" ht="64" customHeight="1">
      <c r="A5" s="88" t="s">
        <v>20</v>
      </c>
      <c r="B5" s="110">
        <v>204.6</v>
      </c>
      <c r="C5" s="111" t="s">
        <v>102</v>
      </c>
    </row>
    <row r="6" spans="1:3" s="59" customFormat="1" ht="64" customHeight="1">
      <c r="A6" s="88" t="s">
        <v>21</v>
      </c>
      <c r="B6" s="110">
        <f>0.4*2752/100</f>
        <v>11.007999999999999</v>
      </c>
      <c r="C6" s="111" t="s">
        <v>105</v>
      </c>
    </row>
    <row r="7" spans="1:3" s="59" customFormat="1" ht="24" customHeight="1">
      <c r="B7" s="60"/>
    </row>
    <row r="8" spans="1:3" s="59" customFormat="1" ht="24" customHeight="1">
      <c r="A8" s="112"/>
      <c r="B8" s="60" t="s">
        <v>104</v>
      </c>
    </row>
    <row r="10" spans="1:3" ht="15">
      <c r="A10" s="91" t="s">
        <v>126</v>
      </c>
      <c r="B10" s="89" t="s">
        <v>168</v>
      </c>
    </row>
    <row r="13" spans="1:3" ht="14" customHeight="1">
      <c r="A13" s="159" t="s">
        <v>210</v>
      </c>
      <c r="B13" s="159"/>
      <c r="C13" s="159"/>
    </row>
    <row r="14" spans="1:3">
      <c r="A14" s="159"/>
      <c r="B14" s="159"/>
      <c r="C14" s="159"/>
    </row>
    <row r="15" spans="1:3">
      <c r="A15" s="159"/>
      <c r="B15" s="159"/>
      <c r="C15" s="159"/>
    </row>
    <row r="17" spans="1:3">
      <c r="A17" s="159" t="s">
        <v>211</v>
      </c>
      <c r="B17" s="159"/>
      <c r="C17" s="159"/>
    </row>
    <row r="18" spans="1:3">
      <c r="A18" s="159"/>
      <c r="B18" s="159"/>
      <c r="C18" s="159"/>
    </row>
    <row r="19" spans="1:3">
      <c r="A19" s="159"/>
      <c r="B19" s="159"/>
      <c r="C19" s="159"/>
    </row>
    <row r="21" spans="1:3">
      <c r="A21" s="159" t="s">
        <v>212</v>
      </c>
      <c r="B21" s="159"/>
      <c r="C21" s="159"/>
    </row>
    <row r="22" spans="1:3">
      <c r="A22" s="159"/>
      <c r="B22" s="159"/>
      <c r="C22" s="159"/>
    </row>
    <row r="23" spans="1:3">
      <c r="A23" s="159"/>
      <c r="B23" s="159"/>
      <c r="C23" s="159"/>
    </row>
  </sheetData>
  <mergeCells count="3">
    <mergeCell ref="A13:C15"/>
    <mergeCell ref="A17:C19"/>
    <mergeCell ref="A21:C23"/>
  </mergeCells>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A18" sqref="A18:B19"/>
    </sheetView>
  </sheetViews>
  <sheetFormatPr baseColWidth="10" defaultRowHeight="14" x14ac:dyDescent="0"/>
  <cols>
    <col min="1" max="1" width="15.83203125" customWidth="1"/>
    <col min="2" max="2" width="33" customWidth="1"/>
  </cols>
  <sheetData>
    <row r="1" spans="1:6" ht="50" customHeight="1">
      <c r="A1" s="182" t="s">
        <v>179</v>
      </c>
      <c r="B1" s="182"/>
    </row>
    <row r="2" spans="1:6" s="59" customFormat="1" ht="34" customHeight="1">
      <c r="A2" s="124" t="s">
        <v>75</v>
      </c>
      <c r="B2" s="125" t="s">
        <v>0</v>
      </c>
    </row>
    <row r="3" spans="1:6" s="59" customFormat="1" ht="22" customHeight="1">
      <c r="A3" s="122">
        <v>1</v>
      </c>
      <c r="B3" s="123" t="s">
        <v>1</v>
      </c>
    </row>
    <row r="4" spans="1:6" s="59" customFormat="1" ht="22" customHeight="1">
      <c r="A4" s="122">
        <v>2</v>
      </c>
      <c r="B4" s="123" t="s">
        <v>2</v>
      </c>
    </row>
    <row r="5" spans="1:6" s="59" customFormat="1" ht="22" customHeight="1">
      <c r="A5" s="122">
        <v>3</v>
      </c>
      <c r="B5" s="123" t="s">
        <v>3</v>
      </c>
    </row>
    <row r="6" spans="1:6" s="59" customFormat="1" ht="22" customHeight="1">
      <c r="A6" s="122">
        <v>4</v>
      </c>
      <c r="B6" s="123" t="s">
        <v>4</v>
      </c>
    </row>
    <row r="7" spans="1:6" s="59" customFormat="1" ht="22" customHeight="1">
      <c r="A7" s="122">
        <v>5</v>
      </c>
      <c r="B7" s="123" t="s">
        <v>5</v>
      </c>
    </row>
    <row r="8" spans="1:6" s="59" customFormat="1" ht="22" customHeight="1">
      <c r="A8" s="122">
        <v>6</v>
      </c>
      <c r="B8" s="123" t="s">
        <v>6</v>
      </c>
    </row>
    <row r="9" spans="1:6" s="59" customFormat="1" ht="22" customHeight="1">
      <c r="A9" s="122">
        <v>7</v>
      </c>
      <c r="B9" s="123" t="s">
        <v>7</v>
      </c>
    </row>
    <row r="11" spans="1:6" ht="34" customHeight="1">
      <c r="A11" s="126" t="s">
        <v>178</v>
      </c>
      <c r="B11" s="125" t="s">
        <v>177</v>
      </c>
    </row>
    <row r="12" spans="1:6">
      <c r="A12" s="127">
        <f>IF(B12&gt;499999,A3,(IF(B12&gt;99999,A4,(IF(B12&gt;49999,A5,(IF(B12&gt;19999,A6,(IF(B12&gt;4999,A7,(IF(B12&gt;1999,A8,A9)))))))))))</f>
        <v>2</v>
      </c>
      <c r="B12" s="128">
        <f>'CO2-Rechner'!E3</f>
        <v>100000</v>
      </c>
    </row>
    <row r="14" spans="1:6">
      <c r="A14" s="121"/>
      <c r="B14" s="183" t="s">
        <v>180</v>
      </c>
      <c r="C14" s="183"/>
      <c r="D14" s="183"/>
      <c r="E14" s="183"/>
      <c r="F14" s="183"/>
    </row>
    <row r="15" spans="1:6" ht="47" customHeight="1">
      <c r="A15" s="121"/>
      <c r="B15" s="183"/>
      <c r="C15" s="183"/>
      <c r="D15" s="183"/>
      <c r="E15" s="183"/>
      <c r="F15" s="183"/>
    </row>
    <row r="16" spans="1:6" ht="15">
      <c r="A16" s="92" t="s">
        <v>126</v>
      </c>
      <c r="B16" s="89" t="s">
        <v>169</v>
      </c>
    </row>
    <row r="18" spans="1:2" ht="15">
      <c r="A18" s="91" t="s">
        <v>126</v>
      </c>
      <c r="B18" s="89" t="s">
        <v>168</v>
      </c>
    </row>
    <row r="19" spans="1:2" ht="15">
      <c r="A19" s="92" t="s">
        <v>126</v>
      </c>
      <c r="B19" s="89" t="s">
        <v>169</v>
      </c>
    </row>
  </sheetData>
  <mergeCells count="2">
    <mergeCell ref="A1:B1"/>
    <mergeCell ref="B14:F15"/>
  </mergeCells>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election activeCell="A18" sqref="A18:B19"/>
    </sheetView>
  </sheetViews>
  <sheetFormatPr baseColWidth="10" defaultRowHeight="14" x14ac:dyDescent="0"/>
  <cols>
    <col min="1" max="1" width="15.6640625" customWidth="1"/>
    <col min="7" max="7" width="12.33203125" customWidth="1"/>
  </cols>
  <sheetData>
    <row r="1" spans="1:12" ht="28" customHeight="1">
      <c r="A1" s="184" t="s">
        <v>176</v>
      </c>
      <c r="B1" s="184"/>
      <c r="C1" s="184"/>
      <c r="D1" s="184"/>
      <c r="E1" s="184"/>
      <c r="F1" s="184"/>
    </row>
    <row r="2" spans="1:12" ht="45" customHeight="1">
      <c r="A2" s="117" t="s">
        <v>31</v>
      </c>
      <c r="B2" s="117" t="s">
        <v>9</v>
      </c>
      <c r="C2" s="117" t="s">
        <v>10</v>
      </c>
      <c r="D2" s="117" t="s">
        <v>11</v>
      </c>
      <c r="E2" s="117" t="s">
        <v>12</v>
      </c>
      <c r="F2" s="117" t="s">
        <v>13</v>
      </c>
    </row>
    <row r="3" spans="1:12">
      <c r="A3" s="118">
        <v>1</v>
      </c>
      <c r="B3" s="116">
        <v>27.5</v>
      </c>
      <c r="C3" s="116">
        <v>12.1</v>
      </c>
      <c r="D3" s="116">
        <v>17.600000000000001</v>
      </c>
      <c r="E3" s="116">
        <v>31.1</v>
      </c>
      <c r="F3" s="116">
        <v>11.7</v>
      </c>
      <c r="G3" s="12"/>
    </row>
    <row r="4" spans="1:12">
      <c r="A4" s="118">
        <v>2</v>
      </c>
      <c r="B4" s="116">
        <v>26.5</v>
      </c>
      <c r="C4" s="116">
        <v>8.5</v>
      </c>
      <c r="D4" s="116">
        <v>11.9</v>
      </c>
      <c r="E4" s="116">
        <v>39.5</v>
      </c>
      <c r="F4" s="116">
        <v>13.6</v>
      </c>
      <c r="G4" s="12"/>
    </row>
    <row r="5" spans="1:12">
      <c r="A5" s="118">
        <v>3</v>
      </c>
      <c r="B5" s="116">
        <v>25</v>
      </c>
      <c r="C5" s="116">
        <v>9.6</v>
      </c>
      <c r="D5" s="116">
        <v>6.4</v>
      </c>
      <c r="E5" s="116">
        <v>43.7</v>
      </c>
      <c r="F5" s="116">
        <v>15.4</v>
      </c>
      <c r="G5" s="12"/>
    </row>
    <row r="6" spans="1:12">
      <c r="A6" s="118">
        <v>4</v>
      </c>
      <c r="B6" s="116">
        <v>22.6</v>
      </c>
      <c r="C6" s="116">
        <v>12.4</v>
      </c>
      <c r="D6" s="116">
        <v>5.9</v>
      </c>
      <c r="E6" s="116">
        <v>43.1</v>
      </c>
      <c r="F6" s="116">
        <v>16</v>
      </c>
      <c r="G6" s="12"/>
    </row>
    <row r="7" spans="1:12">
      <c r="A7" s="118">
        <v>5</v>
      </c>
      <c r="B7" s="116">
        <v>22</v>
      </c>
      <c r="C7" s="116">
        <v>9.5</v>
      </c>
      <c r="D7" s="116">
        <v>6.3</v>
      </c>
      <c r="E7" s="116">
        <v>46.3</v>
      </c>
      <c r="F7" s="116">
        <v>15.9</v>
      </c>
      <c r="G7" s="12"/>
    </row>
    <row r="8" spans="1:12">
      <c r="A8" s="118">
        <v>6</v>
      </c>
      <c r="B8" s="116">
        <v>22.2</v>
      </c>
      <c r="C8" s="116">
        <v>7</v>
      </c>
      <c r="D8" s="116">
        <v>5.2</v>
      </c>
      <c r="E8" s="116">
        <v>49.5</v>
      </c>
      <c r="F8" s="116">
        <v>16.100000000000001</v>
      </c>
      <c r="G8" s="12"/>
    </row>
    <row r="9" spans="1:12">
      <c r="A9" s="118">
        <v>7</v>
      </c>
      <c r="B9" s="116">
        <v>19.600000000000001</v>
      </c>
      <c r="C9" s="116">
        <v>7</v>
      </c>
      <c r="D9" s="116">
        <v>6.6</v>
      </c>
      <c r="E9" s="116">
        <v>50.3</v>
      </c>
      <c r="F9" s="116">
        <v>16.5</v>
      </c>
      <c r="G9" s="12"/>
    </row>
    <row r="10" spans="1:12">
      <c r="A10" s="25"/>
      <c r="B10" s="26"/>
      <c r="C10" s="26"/>
      <c r="D10" s="26"/>
      <c r="E10" s="26"/>
      <c r="F10" s="26"/>
      <c r="G10" s="12"/>
    </row>
    <row r="11" spans="1:12">
      <c r="A11" s="27" t="s">
        <v>77</v>
      </c>
      <c r="B11" s="26"/>
      <c r="C11" s="26"/>
      <c r="D11" s="26"/>
      <c r="E11" s="26"/>
      <c r="F11" s="26"/>
      <c r="G11" s="12"/>
    </row>
    <row r="12" spans="1:12" ht="28">
      <c r="A12" s="22" t="s">
        <v>31</v>
      </c>
      <c r="B12" s="22" t="s">
        <v>9</v>
      </c>
      <c r="C12" s="22" t="s">
        <v>10</v>
      </c>
      <c r="D12" s="22" t="s">
        <v>11</v>
      </c>
      <c r="E12" s="22" t="s">
        <v>12</v>
      </c>
      <c r="F12" s="22" t="s">
        <v>13</v>
      </c>
      <c r="G12" s="1"/>
      <c r="H12" s="1"/>
      <c r="I12" s="1"/>
      <c r="J12" s="1"/>
      <c r="K12" s="1"/>
      <c r="L12" s="1"/>
    </row>
    <row r="13" spans="1:12">
      <c r="A13" s="119">
        <f>Stadtgrößenzuordnung!A12</f>
        <v>2</v>
      </c>
      <c r="B13" s="120">
        <f>INDEX(B3:B9,MATCH($A$13,$A$3:$A$9,0))</f>
        <v>26.5</v>
      </c>
      <c r="C13" s="120">
        <f>INDEX(C3:C9,MATCH($A$13,$A$3:$A$9,0))</f>
        <v>8.5</v>
      </c>
      <c r="D13" s="120">
        <f>INDEX(D3:D9,MATCH($A$13,$A$3:$A$9,0))</f>
        <v>11.9</v>
      </c>
      <c r="E13" s="120">
        <f>INDEX(E3:E9,MATCH($A$13,$A$3:$A$9,0))</f>
        <v>39.5</v>
      </c>
      <c r="F13" s="120">
        <f>INDEX(F3:F9,MATCH($A$13,$A$3:$A$9,0))</f>
        <v>13.6</v>
      </c>
      <c r="G13" s="1"/>
      <c r="H13" s="1"/>
      <c r="I13" s="1"/>
      <c r="J13" s="1"/>
      <c r="K13" s="1"/>
      <c r="L13" s="1"/>
    </row>
    <row r="14" spans="1:12">
      <c r="B14" s="1"/>
      <c r="C14" s="1"/>
      <c r="D14" s="1"/>
      <c r="E14" s="1"/>
      <c r="F14" s="1"/>
      <c r="G14" s="1"/>
      <c r="H14" s="1"/>
      <c r="I14" s="1"/>
      <c r="J14" s="1"/>
      <c r="K14" s="1"/>
      <c r="L14" s="1"/>
    </row>
    <row r="15" spans="1:12">
      <c r="A15" s="121"/>
      <c r="B15" s="185" t="s">
        <v>60</v>
      </c>
      <c r="C15" s="185"/>
      <c r="D15" s="185"/>
      <c r="E15" s="185"/>
      <c r="F15" s="185"/>
      <c r="G15" s="1"/>
      <c r="H15" s="1"/>
      <c r="I15" s="1"/>
      <c r="J15" s="1"/>
      <c r="K15" s="1"/>
      <c r="L15" s="1"/>
    </row>
    <row r="16" spans="1:12">
      <c r="A16" s="121"/>
      <c r="B16" s="185"/>
      <c r="C16" s="185"/>
      <c r="D16" s="185"/>
      <c r="E16" s="185"/>
      <c r="F16" s="185"/>
      <c r="G16" s="1"/>
      <c r="H16" s="1"/>
      <c r="I16" s="1"/>
      <c r="J16" s="1"/>
      <c r="K16" s="1"/>
      <c r="L16" s="1"/>
    </row>
    <row r="17" spans="1:12">
      <c r="B17" s="1"/>
      <c r="C17" s="1"/>
      <c r="D17" s="1"/>
      <c r="E17" s="1"/>
      <c r="F17" s="1"/>
      <c r="G17" s="1"/>
      <c r="H17" s="1"/>
      <c r="I17" s="1"/>
      <c r="J17" s="1"/>
      <c r="K17" s="1"/>
      <c r="L17" s="1"/>
    </row>
    <row r="18" spans="1:12" ht="15">
      <c r="A18" s="91" t="s">
        <v>126</v>
      </c>
      <c r="B18" s="89" t="s">
        <v>168</v>
      </c>
    </row>
    <row r="19" spans="1:12" ht="15">
      <c r="A19" s="92" t="s">
        <v>126</v>
      </c>
      <c r="B19" s="89" t="s">
        <v>169</v>
      </c>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row>
  </sheetData>
  <mergeCells count="2">
    <mergeCell ref="A1:F1"/>
    <mergeCell ref="B15:F16"/>
  </mergeCells>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17" sqref="A17:B18"/>
    </sheetView>
  </sheetViews>
  <sheetFormatPr baseColWidth="10" defaultRowHeight="14" x14ac:dyDescent="0"/>
  <cols>
    <col min="2" max="9" width="16.1640625" customWidth="1"/>
  </cols>
  <sheetData>
    <row r="1" spans="1:9" ht="30" customHeight="1">
      <c r="A1" s="186" t="s">
        <v>181</v>
      </c>
      <c r="B1" s="187"/>
      <c r="C1" s="187"/>
      <c r="D1" s="187"/>
      <c r="E1" s="187"/>
      <c r="F1" s="187"/>
      <c r="G1" s="187"/>
      <c r="H1" s="187"/>
      <c r="I1" s="188"/>
    </row>
    <row r="2" spans="1:9" ht="52" customHeight="1">
      <c r="A2" s="129" t="s">
        <v>31</v>
      </c>
      <c r="B2" s="129" t="s">
        <v>157</v>
      </c>
      <c r="C2" s="129" t="s">
        <v>22</v>
      </c>
      <c r="D2" s="129" t="s">
        <v>158</v>
      </c>
      <c r="E2" s="129" t="s">
        <v>159</v>
      </c>
      <c r="F2" s="129" t="s">
        <v>160</v>
      </c>
      <c r="G2" s="129" t="s">
        <v>161</v>
      </c>
      <c r="H2" s="129" t="s">
        <v>162</v>
      </c>
      <c r="I2" s="129" t="s">
        <v>163</v>
      </c>
    </row>
    <row r="3" spans="1:9" s="59" customFormat="1" ht="24" customHeight="1">
      <c r="A3" s="118">
        <v>1</v>
      </c>
      <c r="B3" s="133">
        <v>10.3</v>
      </c>
      <c r="C3" s="131">
        <f>B3/$B$10</f>
        <v>0.87606318347509127</v>
      </c>
      <c r="D3" s="132">
        <f>$C3*D$10</f>
        <v>1.2264884568651278</v>
      </c>
      <c r="E3" s="132">
        <f t="shared" ref="E3:H3" si="0">$C3*E10</f>
        <v>2.8034021871202923</v>
      </c>
      <c r="F3" s="132">
        <f t="shared" si="0"/>
        <v>18.660145808019443</v>
      </c>
      <c r="G3" s="132">
        <f t="shared" si="0"/>
        <v>16.031956257594171</v>
      </c>
      <c r="H3" s="132">
        <f t="shared" si="0"/>
        <v>12.878128797083841</v>
      </c>
      <c r="I3" s="133">
        <v>3.4</v>
      </c>
    </row>
    <row r="4" spans="1:9" s="59" customFormat="1" ht="24" customHeight="1">
      <c r="A4" s="118">
        <v>2</v>
      </c>
      <c r="B4" s="133">
        <v>11.1</v>
      </c>
      <c r="C4" s="131">
        <f t="shared" ref="C4:C9" si="1">B4/$B$10</f>
        <v>0.94410692588092349</v>
      </c>
      <c r="D4" s="132">
        <f t="shared" ref="D4:H9" si="2">$C4*D$10</f>
        <v>1.3217496962332929</v>
      </c>
      <c r="E4" s="132">
        <f t="shared" si="2"/>
        <v>3.0211421628189554</v>
      </c>
      <c r="F4" s="132">
        <f t="shared" si="2"/>
        <v>20.10947752126367</v>
      </c>
      <c r="G4" s="132">
        <f t="shared" si="2"/>
        <v>17.2771567436209</v>
      </c>
      <c r="H4" s="132">
        <f t="shared" si="2"/>
        <v>13.878371810449575</v>
      </c>
      <c r="I4" s="133">
        <v>3.5</v>
      </c>
    </row>
    <row r="5" spans="1:9" s="59" customFormat="1" ht="24" customHeight="1">
      <c r="A5" s="118">
        <v>3</v>
      </c>
      <c r="B5" s="133">
        <v>10.4</v>
      </c>
      <c r="C5" s="131">
        <f t="shared" si="1"/>
        <v>0.88456865127582029</v>
      </c>
      <c r="D5" s="132">
        <f t="shared" si="2"/>
        <v>1.2383961117861484</v>
      </c>
      <c r="E5" s="132">
        <f t="shared" si="2"/>
        <v>2.8306196840826252</v>
      </c>
      <c r="F5" s="132">
        <f t="shared" si="2"/>
        <v>18.841312272174974</v>
      </c>
      <c r="G5" s="132">
        <f t="shared" si="2"/>
        <v>16.187606318347513</v>
      </c>
      <c r="H5" s="132">
        <f t="shared" si="2"/>
        <v>13.003159173754558</v>
      </c>
      <c r="I5" s="133">
        <v>3.6</v>
      </c>
    </row>
    <row r="6" spans="1:9" s="59" customFormat="1" ht="24" customHeight="1">
      <c r="A6" s="118">
        <v>4</v>
      </c>
      <c r="B6" s="133">
        <v>11.1</v>
      </c>
      <c r="C6" s="131">
        <f t="shared" si="1"/>
        <v>0.94410692588092349</v>
      </c>
      <c r="D6" s="132">
        <f t="shared" si="2"/>
        <v>1.3217496962332929</v>
      </c>
      <c r="E6" s="132">
        <f t="shared" si="2"/>
        <v>3.0211421628189554</v>
      </c>
      <c r="F6" s="132">
        <f t="shared" si="2"/>
        <v>20.10947752126367</v>
      </c>
      <c r="G6" s="132">
        <f t="shared" si="2"/>
        <v>17.2771567436209</v>
      </c>
      <c r="H6" s="132">
        <f t="shared" si="2"/>
        <v>13.878371810449575</v>
      </c>
      <c r="I6" s="133">
        <v>3.5</v>
      </c>
    </row>
    <row r="7" spans="1:9" s="59" customFormat="1" ht="24" customHeight="1">
      <c r="A7" s="118">
        <v>5</v>
      </c>
      <c r="B7" s="133">
        <v>11.9</v>
      </c>
      <c r="C7" s="131">
        <f t="shared" si="1"/>
        <v>1.0121506682867558</v>
      </c>
      <c r="D7" s="132">
        <f t="shared" si="2"/>
        <v>1.417010935601458</v>
      </c>
      <c r="E7" s="132">
        <f t="shared" si="2"/>
        <v>3.238882138517619</v>
      </c>
      <c r="F7" s="132">
        <f t="shared" si="2"/>
        <v>21.558809234507901</v>
      </c>
      <c r="G7" s="132">
        <f t="shared" si="2"/>
        <v>18.522357229647632</v>
      </c>
      <c r="H7" s="132">
        <f t="shared" si="2"/>
        <v>14.87861482381531</v>
      </c>
      <c r="I7" s="133">
        <v>3.4</v>
      </c>
    </row>
    <row r="8" spans="1:9" s="59" customFormat="1" ht="24" customHeight="1">
      <c r="A8" s="118">
        <v>6</v>
      </c>
      <c r="B8" s="133">
        <v>12.9</v>
      </c>
      <c r="C8" s="131">
        <f t="shared" si="1"/>
        <v>1.0972053462940463</v>
      </c>
      <c r="D8" s="132">
        <f t="shared" si="2"/>
        <v>1.5360874848116648</v>
      </c>
      <c r="E8" s="132">
        <f t="shared" si="2"/>
        <v>3.5110571081409483</v>
      </c>
      <c r="F8" s="132">
        <f t="shared" si="2"/>
        <v>23.370473876063187</v>
      </c>
      <c r="G8" s="132">
        <f t="shared" si="2"/>
        <v>20.078857837181047</v>
      </c>
      <c r="H8" s="132">
        <f t="shared" si="2"/>
        <v>16.128918590522481</v>
      </c>
      <c r="I8" s="133">
        <v>3.4</v>
      </c>
    </row>
    <row r="9" spans="1:9" s="59" customFormat="1" ht="24" customHeight="1">
      <c r="A9" s="118">
        <v>7</v>
      </c>
      <c r="B9" s="133">
        <v>14.6</v>
      </c>
      <c r="C9" s="131">
        <f t="shared" si="1"/>
        <v>1.24179829890644</v>
      </c>
      <c r="D9" s="132">
        <f t="shared" si="2"/>
        <v>1.7385176184690159</v>
      </c>
      <c r="E9" s="132">
        <f t="shared" si="2"/>
        <v>3.9737545565006083</v>
      </c>
      <c r="F9" s="132">
        <f t="shared" si="2"/>
        <v>26.450303766707172</v>
      </c>
      <c r="G9" s="132">
        <f t="shared" si="2"/>
        <v>22.724908869987853</v>
      </c>
      <c r="H9" s="132">
        <f t="shared" si="2"/>
        <v>18.254434993924669</v>
      </c>
      <c r="I9" s="133">
        <v>3.2</v>
      </c>
    </row>
    <row r="10" spans="1:9" s="59" customFormat="1" ht="24" customHeight="1">
      <c r="A10" s="84" t="s">
        <v>156</v>
      </c>
      <c r="B10" s="130">
        <f>AVERAGE(B3:B9)</f>
        <v>11.757142857142856</v>
      </c>
      <c r="C10" s="85" t="s">
        <v>28</v>
      </c>
      <c r="D10" s="133">
        <v>1.4</v>
      </c>
      <c r="E10" s="133">
        <v>3.2</v>
      </c>
      <c r="F10" s="133">
        <v>21.3</v>
      </c>
      <c r="G10" s="133">
        <v>18.3</v>
      </c>
      <c r="H10" s="133">
        <v>14.7</v>
      </c>
      <c r="I10" s="86"/>
    </row>
    <row r="12" spans="1:9" ht="1" customHeight="1"/>
    <row r="13" spans="1:9" ht="29" customHeight="1">
      <c r="A13" s="189" t="s">
        <v>76</v>
      </c>
      <c r="B13" s="189"/>
      <c r="C13" s="189"/>
      <c r="D13" s="189"/>
      <c r="E13" s="189"/>
      <c r="F13" s="189"/>
      <c r="G13" s="189"/>
      <c r="H13" s="189"/>
      <c r="I13" s="189"/>
    </row>
    <row r="14" spans="1:9" ht="47" customHeight="1">
      <c r="A14" s="118" t="s">
        <v>31</v>
      </c>
      <c r="B14" s="129" t="s">
        <v>14</v>
      </c>
      <c r="C14" s="129" t="s">
        <v>22</v>
      </c>
      <c r="D14" s="129" t="s">
        <v>23</v>
      </c>
      <c r="E14" s="129" t="s">
        <v>24</v>
      </c>
      <c r="F14" s="129" t="s">
        <v>25</v>
      </c>
      <c r="G14" s="129" t="s">
        <v>26</v>
      </c>
      <c r="H14" s="129" t="s">
        <v>27</v>
      </c>
      <c r="I14" s="129" t="s">
        <v>8</v>
      </c>
    </row>
    <row r="15" spans="1:9" ht="28" customHeight="1">
      <c r="A15" s="95">
        <f>Stadtgrößenzuordnung!A12</f>
        <v>2</v>
      </c>
      <c r="B15" s="95">
        <f t="shared" ref="B15:I15" si="3">INDEX(B3:B9,MATCH($A$15,$A$3:$A$9,0))</f>
        <v>11.1</v>
      </c>
      <c r="C15" s="134">
        <f t="shared" si="3"/>
        <v>0.94410692588092349</v>
      </c>
      <c r="D15" s="134">
        <f t="shared" si="3"/>
        <v>1.3217496962332929</v>
      </c>
      <c r="E15" s="134">
        <f t="shared" si="3"/>
        <v>3.0211421628189554</v>
      </c>
      <c r="F15" s="134">
        <f t="shared" si="3"/>
        <v>20.10947752126367</v>
      </c>
      <c r="G15" s="134">
        <f t="shared" si="3"/>
        <v>17.2771567436209</v>
      </c>
      <c r="H15" s="134">
        <f t="shared" si="3"/>
        <v>13.878371810449575</v>
      </c>
      <c r="I15" s="95">
        <f t="shared" si="3"/>
        <v>3.5</v>
      </c>
    </row>
    <row r="17" spans="1:6" ht="15">
      <c r="A17" s="91" t="s">
        <v>126</v>
      </c>
      <c r="B17" s="89" t="s">
        <v>168</v>
      </c>
    </row>
    <row r="18" spans="1:6" ht="15">
      <c r="A18" s="92" t="s">
        <v>126</v>
      </c>
      <c r="B18" s="89" t="s">
        <v>169</v>
      </c>
      <c r="F18" s="23"/>
    </row>
    <row r="20" spans="1:6">
      <c r="A20" s="24" t="s">
        <v>69</v>
      </c>
    </row>
    <row r="21" spans="1:6">
      <c r="A21" t="s">
        <v>70</v>
      </c>
    </row>
    <row r="22" spans="1:6">
      <c r="A22" t="s">
        <v>182</v>
      </c>
    </row>
    <row r="23" spans="1:6">
      <c r="A23" t="s">
        <v>71</v>
      </c>
    </row>
    <row r="24" spans="1:6">
      <c r="A24" t="s">
        <v>72</v>
      </c>
    </row>
  </sheetData>
  <mergeCells count="2">
    <mergeCell ref="A1:I1"/>
    <mergeCell ref="A13:I13"/>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11</vt:i4>
      </vt:variant>
    </vt:vector>
  </HeadingPairs>
  <TitlesOfParts>
    <vt:vector size="11" baseType="lpstr">
      <vt:lpstr>Lizenz</vt:lpstr>
      <vt:lpstr>Bedienungsanleitung</vt:lpstr>
      <vt:lpstr>CO2-Rechner</vt:lpstr>
      <vt:lpstr>Bundesbenchmark</vt:lpstr>
      <vt:lpstr>Grafiken Bundesvergleich</vt:lpstr>
      <vt:lpstr>CO2</vt:lpstr>
      <vt:lpstr>Stadtgrößenzuordnung</vt:lpstr>
      <vt:lpstr>Modal Split</vt:lpstr>
      <vt:lpstr>Wegelängen</vt:lpstr>
      <vt:lpstr>Rechner</vt:lpstr>
      <vt:lpstr>Einzelschritte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dc:creator>
  <cp:keywords/>
  <dc:description/>
  <cp:lastModifiedBy>Heinrich Strößenreuther</cp:lastModifiedBy>
  <cp:lastPrinted>2015-06-19T08:24:53Z</cp:lastPrinted>
  <dcterms:created xsi:type="dcterms:W3CDTF">2015-04-28T10:30:01Z</dcterms:created>
  <dcterms:modified xsi:type="dcterms:W3CDTF">2017-11-06T06:14:59Z</dcterms:modified>
  <cp:category/>
</cp:coreProperties>
</file>