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8800" windowHeight="16460" tabRatio="802"/>
  </bookViews>
  <sheets>
    <sheet name="Lizenz" sheetId="9" r:id="rId1"/>
    <sheet name="Bedienungsanleitung" sheetId="13" r:id="rId2"/>
    <sheet name="CO2-Rechner" sheetId="7" r:id="rId3"/>
    <sheet name="Bundesbenchmark" sheetId="10" r:id="rId4"/>
    <sheet name="Grafiken Bundesvergleich" sheetId="12" r:id="rId5"/>
    <sheet name="CO2" sheetId="2" r:id="rId6"/>
    <sheet name="Stadtgrößenzuordnung" sheetId="6" r:id="rId7"/>
    <sheet name="Modal Split" sheetId="1" r:id="rId8"/>
    <sheet name="Wegelängen" sheetId="3" r:id="rId9"/>
    <sheet name="Rechner" sheetId="4" r:id="rId10"/>
    <sheet name="Einzelschritte" sheetId="5" r:id="rId11"/>
  </sheets>
  <definedNames>
    <definedName name="_xlnm._FilterDatabase" localSheetId="3" hidden="1">Bundesbenchmark!$A$3:$J$3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5" i="10" l="1"/>
  <c r="G5" i="10"/>
  <c r="F6" i="10"/>
  <c r="G6" i="10"/>
  <c r="F7" i="10"/>
  <c r="G7" i="10"/>
  <c r="F8" i="10"/>
  <c r="G8" i="10"/>
  <c r="F9" i="10"/>
  <c r="G9" i="10"/>
  <c r="F10" i="10"/>
  <c r="G10" i="10"/>
  <c r="F11" i="10"/>
  <c r="G11" i="10"/>
  <c r="F12" i="10"/>
  <c r="G12" i="10"/>
  <c r="F13" i="10"/>
  <c r="G13" i="10"/>
  <c r="F14" i="10"/>
  <c r="G14" i="10"/>
  <c r="F15" i="10"/>
  <c r="G15" i="10"/>
  <c r="F16" i="10"/>
  <c r="G16" i="10"/>
  <c r="F17" i="10"/>
  <c r="G17" i="10"/>
  <c r="F18" i="10"/>
  <c r="G18" i="10"/>
  <c r="F19" i="10"/>
  <c r="G19" i="10"/>
  <c r="F4" i="10"/>
  <c r="B12" i="6"/>
  <c r="A12" i="6"/>
  <c r="A15" i="3"/>
  <c r="B10" i="3"/>
  <c r="C5" i="3"/>
  <c r="D5" i="3"/>
  <c r="E5" i="3"/>
  <c r="F5" i="3"/>
  <c r="G5" i="3"/>
  <c r="H5" i="3"/>
  <c r="C6" i="3"/>
  <c r="D6" i="3"/>
  <c r="E6" i="3"/>
  <c r="F6" i="3"/>
  <c r="G6" i="3"/>
  <c r="H6" i="3"/>
  <c r="C7" i="3"/>
  <c r="D7" i="3"/>
  <c r="E7" i="3"/>
  <c r="F7" i="3"/>
  <c r="G7" i="3"/>
  <c r="H7" i="3"/>
  <c r="C8" i="3"/>
  <c r="D8" i="3"/>
  <c r="E8" i="3"/>
  <c r="F8" i="3"/>
  <c r="G8" i="3"/>
  <c r="H8" i="3"/>
  <c r="C9" i="3"/>
  <c r="D9" i="3"/>
  <c r="E9" i="3"/>
  <c r="F9" i="3"/>
  <c r="G9" i="3"/>
  <c r="H9" i="3"/>
  <c r="C4" i="3"/>
  <c r="E4" i="3"/>
  <c r="F4" i="3"/>
  <c r="G4" i="3"/>
  <c r="H4" i="3"/>
  <c r="D4" i="3"/>
  <c r="C3" i="3"/>
  <c r="D3" i="3"/>
  <c r="E3" i="3"/>
  <c r="F3" i="3"/>
  <c r="G3" i="3"/>
  <c r="H3" i="3"/>
  <c r="A13" i="1"/>
  <c r="C13" i="1"/>
  <c r="H8" i="7"/>
  <c r="D9" i="4"/>
  <c r="D9" i="7"/>
  <c r="D13" i="1"/>
  <c r="E9" i="4"/>
  <c r="E9" i="7"/>
  <c r="E13" i="1"/>
  <c r="F9" i="4"/>
  <c r="F9" i="7"/>
  <c r="F13" i="1"/>
  <c r="G9" i="4"/>
  <c r="G9" i="7"/>
  <c r="B13" i="1"/>
  <c r="C9" i="4"/>
  <c r="C9" i="7"/>
  <c r="B6" i="2"/>
  <c r="J7" i="10"/>
  <c r="J9" i="10"/>
  <c r="J4" i="10"/>
  <c r="J5" i="10"/>
  <c r="J10" i="10"/>
  <c r="J13" i="10"/>
  <c r="J11" i="10"/>
  <c r="J15" i="10"/>
  <c r="J6" i="10"/>
  <c r="J18" i="10"/>
  <c r="J8" i="10"/>
  <c r="J17" i="10"/>
  <c r="J12" i="10"/>
  <c r="J19" i="10"/>
  <c r="J16" i="10"/>
  <c r="J14" i="10"/>
  <c r="H32" i="10"/>
  <c r="H40" i="10"/>
  <c r="H28" i="10"/>
  <c r="H30" i="10"/>
  <c r="H33" i="10"/>
  <c r="H27" i="10"/>
  <c r="H38" i="10"/>
  <c r="H29" i="10"/>
  <c r="H35" i="10"/>
  <c r="H31" i="10"/>
  <c r="H42" i="10"/>
  <c r="H36" i="10"/>
  <c r="H39" i="10"/>
  <c r="H41" i="10"/>
  <c r="H37" i="10"/>
  <c r="H34" i="10"/>
  <c r="H14" i="10"/>
  <c r="H18" i="10"/>
  <c r="H16" i="10"/>
  <c r="H13" i="10"/>
  <c r="H19" i="10"/>
  <c r="H8" i="10"/>
  <c r="H12" i="10"/>
  <c r="H6" i="10"/>
  <c r="H15" i="10"/>
  <c r="G4" i="10"/>
  <c r="H4" i="10"/>
  <c r="H10" i="10"/>
  <c r="H7" i="10"/>
  <c r="H5" i="10"/>
  <c r="H17" i="10"/>
  <c r="H9" i="10"/>
  <c r="H11" i="10"/>
  <c r="C4" i="4"/>
  <c r="I15" i="3"/>
  <c r="C6" i="4"/>
  <c r="B27" i="4"/>
  <c r="C27" i="4"/>
  <c r="D15" i="3"/>
  <c r="C14" i="4"/>
  <c r="C33" i="4"/>
  <c r="C19" i="4"/>
  <c r="C39" i="4"/>
  <c r="D27" i="4"/>
  <c r="E15" i="3"/>
  <c r="D14" i="4"/>
  <c r="D33" i="4"/>
  <c r="D19" i="4"/>
  <c r="D39" i="4"/>
  <c r="E27" i="4"/>
  <c r="F15" i="3"/>
  <c r="E14" i="4"/>
  <c r="E33" i="4"/>
  <c r="B4" i="2"/>
  <c r="E19" i="4"/>
  <c r="E39" i="4"/>
  <c r="F27" i="4"/>
  <c r="G15" i="3"/>
  <c r="F14" i="4"/>
  <c r="F33" i="4"/>
  <c r="F19" i="4"/>
  <c r="F39" i="4"/>
  <c r="G27" i="4"/>
  <c r="H15" i="3"/>
  <c r="G14" i="4"/>
  <c r="G33" i="4"/>
  <c r="G19" i="4"/>
  <c r="G39" i="4"/>
  <c r="B39" i="4"/>
  <c r="E14" i="7"/>
  <c r="F21" i="7"/>
  <c r="F22" i="7"/>
  <c r="F23" i="7"/>
  <c r="F24" i="7"/>
  <c r="F25" i="7"/>
  <c r="G28" i="7"/>
  <c r="G30" i="7"/>
  <c r="D26" i="7"/>
  <c r="D28" i="7"/>
  <c r="F26" i="7"/>
  <c r="C21" i="7"/>
  <c r="E21" i="7"/>
  <c r="C22" i="7"/>
  <c r="E22" i="7"/>
  <c r="C23" i="7"/>
  <c r="E23" i="7"/>
  <c r="C24" i="7"/>
  <c r="E24" i="7"/>
  <c r="C25" i="7"/>
  <c r="E25" i="7"/>
  <c r="E26" i="7"/>
  <c r="C26" i="7"/>
  <c r="H26" i="7"/>
  <c r="E15" i="7"/>
  <c r="E16" i="7"/>
  <c r="G25" i="7"/>
  <c r="H9" i="7"/>
  <c r="B33" i="4"/>
  <c r="E13" i="7"/>
  <c r="E12" i="7"/>
  <c r="C15" i="3"/>
  <c r="B15" i="3"/>
  <c r="E11" i="7"/>
  <c r="B14" i="5"/>
  <c r="G29" i="7"/>
  <c r="H25" i="7"/>
  <c r="H24" i="7"/>
  <c r="G24" i="7"/>
  <c r="H23" i="7"/>
  <c r="G23" i="7"/>
  <c r="H22" i="7"/>
  <c r="G22" i="7"/>
  <c r="H21" i="7"/>
  <c r="G21" i="7"/>
  <c r="E49" i="5"/>
  <c r="B5" i="5"/>
  <c r="B30" i="5"/>
  <c r="E33" i="5"/>
  <c r="B39" i="5"/>
  <c r="B55" i="5"/>
  <c r="F49" i="5"/>
  <c r="D49" i="5"/>
  <c r="C49" i="5"/>
  <c r="B49" i="5"/>
  <c r="F52" i="5"/>
  <c r="E52" i="5"/>
  <c r="D52" i="5"/>
  <c r="C52" i="5"/>
  <c r="B52" i="5"/>
  <c r="B17" i="5"/>
  <c r="D17" i="5"/>
  <c r="F42" i="5"/>
  <c r="E42" i="5"/>
  <c r="D42" i="5"/>
  <c r="C42" i="5"/>
  <c r="B42" i="5"/>
  <c r="B33" i="5"/>
  <c r="B23" i="5"/>
  <c r="F33" i="5"/>
  <c r="D33" i="5"/>
  <c r="C33" i="5"/>
  <c r="C14" i="5"/>
  <c r="F17" i="5"/>
  <c r="E17" i="5"/>
  <c r="C17" i="5"/>
  <c r="B16" i="5"/>
  <c r="B19" i="5"/>
  <c r="B51" i="5"/>
  <c r="F14" i="5"/>
  <c r="E14" i="5"/>
  <c r="D14" i="5"/>
  <c r="B13" i="5"/>
  <c r="F19" i="5"/>
  <c r="E19" i="5"/>
  <c r="D19" i="5"/>
  <c r="C19" i="5"/>
  <c r="B22" i="5"/>
  <c r="F16" i="5"/>
  <c r="F51" i="5"/>
  <c r="E16" i="5"/>
  <c r="E51" i="5"/>
  <c r="D16" i="5"/>
  <c r="D51" i="5"/>
  <c r="C16" i="5"/>
  <c r="C51" i="5"/>
  <c r="F13" i="5"/>
  <c r="E13" i="5"/>
  <c r="D13" i="5"/>
  <c r="C13" i="5"/>
  <c r="B54" i="5"/>
  <c r="C48" i="5"/>
  <c r="B41" i="5"/>
  <c r="F48" i="5"/>
  <c r="D48" i="5"/>
  <c r="B38" i="5"/>
  <c r="B48" i="5"/>
  <c r="E48" i="5"/>
  <c r="E41" i="5"/>
  <c r="C41" i="5"/>
  <c r="D41" i="5"/>
  <c r="F32" i="5"/>
  <c r="D32" i="5"/>
  <c r="B29" i="5"/>
  <c r="B32" i="5"/>
  <c r="E32" i="5"/>
  <c r="C32" i="5"/>
  <c r="F41" i="5"/>
</calcChain>
</file>

<file path=xl/comments1.xml><?xml version="1.0" encoding="utf-8"?>
<comments xmlns="http://schemas.openxmlformats.org/spreadsheetml/2006/main">
  <authors>
    <author>Heinrich Strößenreuther</author>
  </authors>
  <commentList>
    <comment ref="F8" authorId="0">
      <text>
        <r>
          <rPr>
            <sz val="9"/>
            <color indexed="81"/>
            <rFont val="Calibri"/>
            <family val="2"/>
          </rPr>
          <t xml:space="preserve">Das Verhältnis Fahrer zu Mitfahrer liegt durchschnittlich bei 3:1. 
Gibt es nur einen Verkehrsanteil für den Pkw, lassen sich näherungsweise die beiden Werte wie folgt errechnen:
Auto (Fahrer) = Wert Pkw / 4 x 3
Auto (Mitfahrer) = Wert Pkw / 4 x 1
</t>
        </r>
      </text>
    </comment>
    <comment ref="H8" authorId="0">
      <text>
        <r>
          <rPr>
            <b/>
            <sz val="9"/>
            <color indexed="81"/>
            <rFont val="Calibri"/>
            <family val="2"/>
          </rPr>
          <t xml:space="preserve">Ist der Kontrollwert nicht exakt gleich 100, werden die Bundesdurchschnittswerte verwendet. </t>
        </r>
      </text>
    </comment>
  </commentList>
</comments>
</file>

<file path=xl/sharedStrings.xml><?xml version="1.0" encoding="utf-8"?>
<sst xmlns="http://schemas.openxmlformats.org/spreadsheetml/2006/main" count="354" uniqueCount="213">
  <si>
    <t>Einwohner</t>
  </si>
  <si>
    <t>500.000 und mehr</t>
  </si>
  <si>
    <t>100.000 bis unter 500.000</t>
  </si>
  <si>
    <t>50.000 bis unter 100.000</t>
  </si>
  <si>
    <t>20.000 bis unter 50.000</t>
  </si>
  <si>
    <t>5.000 bis unter 20.000</t>
  </si>
  <si>
    <t>2.000 bis unter 5.000</t>
  </si>
  <si>
    <t>unter 2.000</t>
  </si>
  <si>
    <t>Wegeanzahl</t>
  </si>
  <si>
    <t>Anteil Fußverkehr</t>
  </si>
  <si>
    <t>Anteil Radverkehr</t>
  </si>
  <si>
    <t>Anteil ÖV</t>
  </si>
  <si>
    <t>Anteil MIV (Fahrer)</t>
  </si>
  <si>
    <t>Anteil MIV (Mitfahrer)</t>
  </si>
  <si>
    <t>Durchschnittliche Länge</t>
  </si>
  <si>
    <t>Verkehrsmittel</t>
  </si>
  <si>
    <t>CO2/km</t>
  </si>
  <si>
    <t>Fuß</t>
  </si>
  <si>
    <t>Rad</t>
  </si>
  <si>
    <t>ÖV</t>
  </si>
  <si>
    <t>MIV (Fahrer)</t>
  </si>
  <si>
    <t>MIV (Mitfahrer)</t>
  </si>
  <si>
    <t>Gewichtung Wegelänge</t>
  </si>
  <si>
    <t>Gewichtete Wegelänge Fußverkehr</t>
  </si>
  <si>
    <t>Gewichtete Wegelänge Radverkehr</t>
  </si>
  <si>
    <t>Gewichtete Wegelänge ÖV</t>
  </si>
  <si>
    <t>Gewichtete Wegelänge MIV (Fahrer)</t>
  </si>
  <si>
    <t>Gewichtete Wegelänge MIV (Mitfahrer)</t>
  </si>
  <si>
    <t>Schnitt</t>
  </si>
  <si>
    <t>Listung aller einzelnen Rechenschritte</t>
  </si>
  <si>
    <t>Stadtgröße einer Zeile zuordnen</t>
  </si>
  <si>
    <t>Stadtgröße</t>
  </si>
  <si>
    <t>Co2-Ausstoß berechnen</t>
  </si>
  <si>
    <t>MIV-Fahrer</t>
  </si>
  <si>
    <t>MIV-Mitfahrer</t>
  </si>
  <si>
    <t>Sverweis - kurz</t>
  </si>
  <si>
    <t>Sverweis - komplett</t>
  </si>
  <si>
    <t>Daten auslesen</t>
  </si>
  <si>
    <t>kurz</t>
  </si>
  <si>
    <t>komplett</t>
  </si>
  <si>
    <t>Wegelänge berechnen</t>
  </si>
  <si>
    <t>gesamt</t>
  </si>
  <si>
    <t>Anzahl Wege/Tag</t>
  </si>
  <si>
    <t>Klasse</t>
  </si>
  <si>
    <t>Verkehrsmittelbezogen in [t]</t>
  </si>
  <si>
    <t>CO2-Emission in  [g]/[km]</t>
  </si>
  <si>
    <t>Wegelänge in [km]</t>
  </si>
  <si>
    <t>Modal Split in %</t>
  </si>
  <si>
    <t>Gesamtwegelänge/Tag in  [km]</t>
  </si>
  <si>
    <t>gesamt in [t]</t>
  </si>
  <si>
    <t>Die Anzahl der pro Tag mit einem Verkehrsmittel zurückgelegten Wege ist gleich der Einwohnerzahl mal der durchschnittlichen Wegezahl pro Tag für die Stadtgrößenklasse mal dem Anteil am Modal Split</t>
  </si>
  <si>
    <t>Die Länge der pro Tag mit einem Verkehrsmittel zurückgelegten Wege ist gleich der Einwohnerzahl mal der durchschnittlichen Wegeanzahl für die betreffenden Stadtgrößenklasse mal dem Anteil des Verkehrsmittels am Modal Split mal der durchschnittlichen Wegelänge des Verkehrsmittels in der betreffenden Stadtgrößenklasse</t>
  </si>
  <si>
    <t>Die CO2-Emissionen eines Verkehrsmittels pro Tag sind gleich der mit dem Verkehrsmittel der Einwohnerzahl mal der durchschnittlichen Wegeanzahl für die betreffenden Stadtgrößenklasse mal dem Anteil des Verkehrsmittels am Modal Split mal der durchschnittlichen Wegelänge des Verkehrsmittels in der betreffenden Stadtgrößenklasse mal der verkehrsmittelspezifischen CO2-Emission je Kilometer</t>
  </si>
  <si>
    <t>Emissionen pro Verkehrsmittel und Weg in [kg]</t>
  </si>
  <si>
    <t>Die Bürger Ihrer Stadt legen täglich</t>
  </si>
  <si>
    <t>Wege zurück,</t>
  </si>
  <si>
    <t>davon</t>
  </si>
  <si>
    <t>am Steuer eines Autos.</t>
  </si>
  <si>
    <t>Insgesamt fahren oder laufen die Bürger</t>
  </si>
  <si>
    <t>und produzieren so</t>
  </si>
  <si>
    <t>Felder dieser Farbe enthalten Daten, die aus dem Tabellenband der Studie "Mobilität in Deutschland 2008" entnommen wurden</t>
  </si>
  <si>
    <t>Das entspricht</t>
  </si>
  <si>
    <t>Reduktion.</t>
  </si>
  <si>
    <t>Sie sparen pro Tag</t>
  </si>
  <si>
    <t>Kilometer am Tag</t>
  </si>
  <si>
    <t>Fußverkehr</t>
  </si>
  <si>
    <t>Radverkehr</t>
  </si>
  <si>
    <t>Öffentlicher Nahverkehr</t>
  </si>
  <si>
    <t>Auf dem nachfolgenden Tabellenblatt finden Sie eine Liste unterschiedlicher Maßnahmen, mit denen Sie Ihre Einsparziele erreichen können. Zu jedem Verlagerungsziel gehören Maßnahmen und Budgets!</t>
  </si>
  <si>
    <t>Legende:</t>
  </si>
  <si>
    <t>In Spalte B sind aus MiD die durchschnittlichen Wegelängen für die sieben Stadttypen hinterlegt</t>
  </si>
  <si>
    <t>Damit werden dann die Bundesdurchschnittswegelängen der Verkehrsarten D10 bis H10 gewichtet</t>
  </si>
  <si>
    <t>Damit ist dann aus den Durchschnittsdaten folgendes berechnet: Die durchschnittliche Wegelänge je Verkehrsart je Stadtgrößentyp</t>
  </si>
  <si>
    <t>Durchschnittswert</t>
  </si>
  <si>
    <t>Ihre Stadt</t>
  </si>
  <si>
    <t>Kategorie</t>
  </si>
  <si>
    <t>Ausgabe der zur angegebenen Stadtgröße gehörenden Wegelängen</t>
  </si>
  <si>
    <t>Ausgabe der zur angegebenen Stadtgröße gehörenden Modal Split Werte</t>
  </si>
  <si>
    <t>Einwohnerzahl</t>
  </si>
  <si>
    <t>Modal Split [%]</t>
  </si>
  <si>
    <t>Wegelängen [km] (gewichtet)</t>
  </si>
  <si>
    <r>
      <t>CO</t>
    </r>
    <r>
      <rPr>
        <b/>
        <vertAlign val="subscript"/>
        <sz val="11"/>
        <color theme="1"/>
        <rFont val="Calibri"/>
        <scheme val="minor"/>
      </rPr>
      <t>2</t>
    </r>
    <r>
      <rPr>
        <b/>
        <sz val="11"/>
        <color theme="1"/>
        <rFont val="Calibri"/>
        <scheme val="minor"/>
      </rPr>
      <t>-Emissionen [g/km]</t>
    </r>
  </si>
  <si>
    <t>Durchschnittliche Wegezahl pro Einwohner und Tag</t>
  </si>
  <si>
    <t>Rechnungen</t>
  </si>
  <si>
    <t>Anzahl der Wege je Verkehrsmittel und Gesamt</t>
  </si>
  <si>
    <t>Gesamt</t>
  </si>
  <si>
    <r>
      <t>CO</t>
    </r>
    <r>
      <rPr>
        <b/>
        <vertAlign val="subscript"/>
        <sz val="11"/>
        <color theme="1"/>
        <rFont val="Calibri"/>
        <scheme val="minor"/>
      </rPr>
      <t>2</t>
    </r>
    <r>
      <rPr>
        <b/>
        <sz val="11"/>
        <color theme="1"/>
        <rFont val="Calibri"/>
        <scheme val="minor"/>
      </rPr>
      <t>-Emissionen je Verkehrsmittel und Gesamt [t]</t>
    </r>
  </si>
  <si>
    <t>Länge aller Wege je Verkehrsmittel und Gesamt [km]</t>
  </si>
  <si>
    <t>Anmerkung Modal Split:</t>
  </si>
  <si>
    <t>Anmerkung Wegelängen:</t>
  </si>
  <si>
    <t>Die Wegelängen werden für die entsprechende Stadtgrößenklasse aus der Tabelle "Wegelängen" ausgelesen. Die dort verzeichneten Werte wurden bereits gewichtet. Hierbei wurden die durchschittlichen verkehrsmittelspezifischen Wegelängen ins gleiche Verhältnis zu stadtgrößen- und verkehrsmittelspezifischen Wegelänge gesetzt, wie die bundesweit durchschnittliche Wegelänge zur durchschnittlichen stadtgrößenspezifischen Wegelänge.</t>
  </si>
  <si>
    <r>
      <t>Anmerkungen CO</t>
    </r>
    <r>
      <rPr>
        <b/>
        <vertAlign val="subscript"/>
        <sz val="11"/>
        <color theme="1"/>
        <rFont val="Calibri"/>
        <scheme val="minor"/>
      </rPr>
      <t>2</t>
    </r>
    <r>
      <rPr>
        <b/>
        <sz val="11"/>
        <color theme="1"/>
        <rFont val="Calibri"/>
        <scheme val="minor"/>
      </rPr>
      <t>-Emissionen:</t>
    </r>
  </si>
  <si>
    <t>Die Emissionswerte wurden der MiD 2008 entnommen, da keine aktuelleren Daten vorliegen, die den Kategorien der MiD 2008 entsprechen.</t>
  </si>
  <si>
    <t>Anmerkungen Berechnung der Wegeanzahl:</t>
  </si>
  <si>
    <t>Anmerkungen Berechnung der Wegelänge:</t>
  </si>
  <si>
    <r>
      <t>Anmerkungen Berechnung der CO</t>
    </r>
    <r>
      <rPr>
        <b/>
        <vertAlign val="subscript"/>
        <sz val="11"/>
        <color theme="1"/>
        <rFont val="Calibri"/>
        <scheme val="minor"/>
      </rPr>
      <t>2</t>
    </r>
    <r>
      <rPr>
        <b/>
        <sz val="11"/>
        <color theme="1"/>
        <rFont val="Calibri"/>
        <scheme val="minor"/>
      </rPr>
      <t>-Emissionen:</t>
    </r>
  </si>
  <si>
    <t>Die Wegeanzahl für die einzelnen Verkehrsmittel ergibt sich aus der Einwohnerzahl multipliziert mit der durchschnittlichen stadtgrößenspezifischen Wegezahl je Einwohner und Tag multipliziert mit dem stadtgrößenspezifischen Anteil des jeweiligen Verkehrsmittels am Modal Split.</t>
  </si>
  <si>
    <t>Die Wegelänge für die einzelnen Verkehrsmittel ergibt sich aus der stadtgrößenspezifischen Wegeanzahl je Verkehrsmittel (s.o.) multipliziert mit der stadtgrößen- und verkehrsmittelspezifischen Wegelänge je Verkehrsmittel.</t>
  </si>
  <si>
    <t>Die CO2-Emissionen je Verkehrsmittel ergeben sich aus der stadtgrößenspezifischen Wegelänge je Verkehrsmittel (s.o.) multipliziert mit der verkehrsmittelspezifischen CO2-Emission in Gramm je Kilometer geteilt durch 1.000.000.</t>
  </si>
  <si>
    <t>Falls in der Eingabemaske stadtspezifische Werte für den Modal Split eingegeben werden und diese sich auf genau 100 summieren, werden die eingegebenen Werte genutzt, andernfalls die Durchschnittswerte für die betreffende Stadtgrößenklasse aus der MiD 2008.</t>
  </si>
  <si>
    <t>Anteil in %</t>
  </si>
  <si>
    <r>
      <t>Tonnen CO</t>
    </r>
    <r>
      <rPr>
        <vertAlign val="subscript"/>
        <sz val="11"/>
        <color theme="1"/>
        <rFont val="Calibri"/>
        <family val="2"/>
        <scheme val="minor"/>
      </rPr>
      <t>2</t>
    </r>
    <r>
      <rPr>
        <b/>
        <sz val="11"/>
        <color theme="1"/>
        <rFont val="Calibri"/>
        <scheme val="minor"/>
      </rPr>
      <t xml:space="preserve"> täglich</t>
    </r>
  </si>
  <si>
    <t>lt. Mail-Auskunft vom 22.9.2015 von Herr Dr. Gohlisch, Umweltbundesamt, Umweltbundesamt, Fachgebiet  I 3.2 "Schadstoffminderung und Energieeinsparung im Verkehr", Wörlitzer Platz 1, D-06844 Dessau, Tel. +49(0)340 2103-6525 inkl. Vorketten zur Vergleichbarkeit mit ÖV</t>
  </si>
  <si>
    <t>Durchschnitt aus Linienbus (74), SPNV (72) sowie Straßen-, Stadt- und U-Bahn (74) gem. Download UBA vom 22.9.15: http://www.umweltbundesamt.de/sites/default/files/medien/376/bilder/dateien/vergleich_der_emissionen_einzelner_verkehrstraeger_im_personenverkehr_bezugsjahr_2012.pdf</t>
  </si>
  <si>
    <t>Felder dieser Farbe enthalten Daten des Umweltbundesamtes / Stand 2013 sowie Daten aus dem Netz (siehe oben)</t>
  </si>
  <si>
    <t>lt. VCD und ADAC pro 100 kg Gewicht 0,3 - 0,5 Liter pro 100 km zusätzlich (siehe https://www.vcd.org/themen/auto-umwelt/spritsparen/ ; https://www.adac.de/infotestrat/tanken-kraftstoffe-und-antrieb/spritsparen/sparen-beim-fahren-antwort-5.aspx?ComponentId=29537&amp;SourcePageId=47804); Umrechnung per 2,752 kg CO2 inkl. Vorkette pro Liter Benzin nach Quelle http://www5.umweltbundesamt.at/emas/co2mon/co2mon.htm#Erlaeuterungen</t>
  </si>
  <si>
    <t xml:space="preserve">Bitte geben Sie die Einwohnerzahl Ihrer Stadt ein:   </t>
  </si>
  <si>
    <t>Autoverkehr "Beifahrer"</t>
  </si>
  <si>
    <t>Autoverkehr "Allein-Fahrer"</t>
  </si>
  <si>
    <t>Summe 
= 100?</t>
  </si>
  <si>
    <t>pro Einwohner dieser Stadt also</t>
  </si>
  <si>
    <r>
      <t>Tonnen CO</t>
    </r>
    <r>
      <rPr>
        <vertAlign val="subscript"/>
        <sz val="11"/>
        <color theme="1"/>
        <rFont val="Calibri"/>
        <family val="2"/>
        <scheme val="minor"/>
      </rPr>
      <t>2</t>
    </r>
    <r>
      <rPr>
        <sz val="11"/>
        <color theme="1"/>
        <rFont val="Calibri"/>
        <family val="2"/>
        <scheme val="minor"/>
      </rPr>
      <t xml:space="preserve"> ein.</t>
    </r>
  </si>
  <si>
    <t>Fahrten / Weg</t>
  </si>
  <si>
    <t>Auto als Allein-Fahrer</t>
  </si>
  <si>
    <t>Auto als Beifahrer</t>
  </si>
  <si>
    <t>Mit dem Fahrrad</t>
  </si>
  <si>
    <t>Zu Fuß</t>
  </si>
  <si>
    <t>Mit Bus&amp;Bahn</t>
  </si>
  <si>
    <t>Tägliche Wege</t>
  </si>
  <si>
    <t>Reduktion / Steigerung</t>
  </si>
  <si>
    <t>Tägliche 
Wege neu</t>
  </si>
  <si>
    <t>x % mehr oder weniger Wege</t>
  </si>
  <si>
    <t>Verkehrs-
anteil neu</t>
  </si>
  <si>
    <t>Summe</t>
  </si>
  <si>
    <t xml:space="preserve"> = Eingabefeld</t>
  </si>
  <si>
    <r>
      <t>CO</t>
    </r>
    <r>
      <rPr>
        <vertAlign val="subscript"/>
        <sz val="11"/>
        <color theme="0"/>
        <rFont val="Calibri"/>
        <scheme val="minor"/>
      </rPr>
      <t>2</t>
    </r>
    <r>
      <rPr>
        <sz val="11"/>
        <color theme="0"/>
        <rFont val="Calibri"/>
        <scheme val="minor"/>
      </rPr>
      <t>-Potential
in Tonnen</t>
    </r>
  </si>
  <si>
    <t>xxx</t>
  </si>
  <si>
    <t>Was kann der CO2-Verkehrspolitik-Rechner?</t>
  </si>
  <si>
    <t>- Bundesweiten Durchschnittswerte für die Verkehrsmittelanteile nutzen</t>
  </si>
  <si>
    <t>- Ein überschlägiges Klimaschutzgutachten für den CO2-Ausstoß im Personenverkehr sofort berechnen</t>
  </si>
  <si>
    <t>- Für die Verlagerugnsstrategien sofort den CO2-Einspar-Effekt ausrechnen</t>
  </si>
  <si>
    <t>- Zu Ihrer Einwohner-Zahl den Stadtgrößen-Typ auswählen</t>
  </si>
  <si>
    <t>- Je Stadtgrößen-Typ die typische Wege- und Entfernungsklassen hinterlegen</t>
  </si>
  <si>
    <t>- Die Verkehrsarten Pkw-Allein-Fahrten und Mitfahrten differenzieren</t>
  </si>
  <si>
    <t>- Ihr Eingabe der Verkehrsmittelwahl Ihrer Stadt in die Berechnung einbeziehen</t>
  </si>
  <si>
    <t>- Aktuelleste Werte für den CO2-Ausstoß für Auto-Alleinfahrer, für Pkw-Mitfahrer, für Fahrgsäte in Bus &amp; Bahn einbeziehen</t>
  </si>
  <si>
    <t>Stadt</t>
  </si>
  <si>
    <t>Berlin</t>
  </si>
  <si>
    <t>Hamburg</t>
  </si>
  <si>
    <t>München</t>
  </si>
  <si>
    <t>Düsseldorf</t>
  </si>
  <si>
    <t>Stuttgart</t>
  </si>
  <si>
    <t>Bremen</t>
  </si>
  <si>
    <t>Hannover</t>
  </si>
  <si>
    <t>Dresden</t>
  </si>
  <si>
    <t>Kiel</t>
  </si>
  <si>
    <t>Schwerin</t>
  </si>
  <si>
    <t>Potsdam</t>
  </si>
  <si>
    <t>Magdeburg</t>
  </si>
  <si>
    <t>Erfurt</t>
  </si>
  <si>
    <t>Wiesbaden</t>
  </si>
  <si>
    <t>Mainz</t>
  </si>
  <si>
    <t>Saarbrücken</t>
  </si>
  <si>
    <t>CO2-Fußabdruck pro EW</t>
  </si>
  <si>
    <r>
      <t>CO</t>
    </r>
    <r>
      <rPr>
        <b/>
        <vertAlign val="subscript"/>
        <sz val="26"/>
        <color rgb="FF14A4EB"/>
        <rFont val="Calibri"/>
        <scheme val="minor"/>
      </rPr>
      <t>2</t>
    </r>
    <r>
      <rPr>
        <b/>
        <sz val="26"/>
        <color rgb="FF14A4EB"/>
        <rFont val="Calibri"/>
        <scheme val="minor"/>
      </rPr>
      <t>-Verkehrswende-Rechner</t>
    </r>
  </si>
  <si>
    <t>Bitte geben Sie an, wieviel Prozent aller Wege in Ihrer Stadt zu Fuß, mit dem Rad, Bus und Bahn, als Autofahrer oder Mitfahrer zurückgelegt werden. Wenn Sie nur einen Verkehrsanteil für den Autoverkehr insgesamt haben, können Sie näherungsweise 25% davon als "Beifahrer-Verkehr" und 75% als "Allein-Fahrer"-Verkehr ansetzen. Die Summe insgesamt muss exakt 100% ergeben, sonst wird mit den Bundesdurchschnittswerten Ihrer Stadtgröße gerechnet.</t>
  </si>
  <si>
    <t>Durchschnitt</t>
  </si>
  <si>
    <t>Durchschnittliche Länge in km</t>
  </si>
  <si>
    <t>Gewichtete Wegelänge Fußverkehr in km</t>
  </si>
  <si>
    <t>Gewichtete Wegelänge Radverkehr in km</t>
  </si>
  <si>
    <t>Gewichtete Wegelänge ÖV in km</t>
  </si>
  <si>
    <t>Gewichtete Wegelänge MIV (Fahrer)  in km</t>
  </si>
  <si>
    <t>Gewichtete Wegelänge MIV (Mitfahrer) in km</t>
  </si>
  <si>
    <t>Wegeanzahl pro Person und Tag</t>
  </si>
  <si>
    <t>CO2-Ausstoß pro Stadt</t>
  </si>
  <si>
    <t>- Die Eingabe der Einwohnerzahl Ihrer Stadt verarbeiten</t>
  </si>
  <si>
    <t>- Den CO2-Ausstoß pro Bürger und Jahr mit anderen Städten vergleichbar machen</t>
  </si>
  <si>
    <t>- Verlagerungspotenzialen durchspielen</t>
  </si>
  <si>
    <t xml:space="preserve"> = Quellenfeld mit Daten aus externen Studien</t>
  </si>
  <si>
    <t>= Berechnungsfeld</t>
  </si>
  <si>
    <t>= Wichtigsten Ergnisfelder</t>
  </si>
  <si>
    <r>
      <t>Tonnen CO</t>
    </r>
    <r>
      <rPr>
        <b/>
        <vertAlign val="subscript"/>
        <sz val="14"/>
        <color theme="1"/>
        <rFont val="Calibri"/>
        <scheme val="minor"/>
      </rPr>
      <t>2</t>
    </r>
    <r>
      <rPr>
        <b/>
        <sz val="14"/>
        <color theme="1"/>
        <rFont val="Calibri"/>
        <scheme val="minor"/>
      </rPr>
      <t xml:space="preserve"> pro Jahr, </t>
    </r>
  </si>
  <si>
    <r>
      <t>kg CO</t>
    </r>
    <r>
      <rPr>
        <b/>
        <vertAlign val="subscript"/>
        <sz val="14"/>
        <color theme="1"/>
        <rFont val="Calibri"/>
        <scheme val="minor"/>
      </rPr>
      <t>2</t>
    </r>
    <r>
      <rPr>
        <b/>
        <sz val="14"/>
        <color theme="1"/>
        <rFont val="Calibri"/>
        <scheme val="minor"/>
      </rPr>
      <t xml:space="preserve"> pro  Jahr!</t>
    </r>
  </si>
  <si>
    <t>bzw.</t>
  </si>
  <si>
    <r>
      <t>Das CO</t>
    </r>
    <r>
      <rPr>
        <vertAlign val="subscript"/>
        <sz val="11"/>
        <color theme="1"/>
        <rFont val="Calibri"/>
        <family val="2"/>
        <scheme val="minor"/>
      </rPr>
      <t>2</t>
    </r>
    <r>
      <rPr>
        <sz val="11"/>
        <color theme="1"/>
        <rFont val="Calibri"/>
        <family val="2"/>
        <scheme val="minor"/>
      </rPr>
      <t>-Reduktionsziel der Bundesregierung bis zum Jahr 2020 beträgt 40%. Gestalten Sie nun Ihre CO</t>
    </r>
    <r>
      <rPr>
        <vertAlign val="subscript"/>
        <sz val="11"/>
        <color theme="1"/>
        <rFont val="Calibri"/>
        <family val="2"/>
        <scheme val="minor"/>
      </rPr>
      <t>2</t>
    </r>
    <r>
      <rPr>
        <sz val="11"/>
        <color theme="1"/>
        <rFont val="Calibri"/>
        <family val="2"/>
        <scheme val="minor"/>
      </rPr>
      <t>-Strategie durch verkehrspolitische Maßnahmen. Tragen Sie deshalb ein, wie stark Sie den Pkw-Alleinfahrer-Verkehr verringern würden zugunsten von Pkw-Mitfahrten, Fahrten mit Bus und Bahn oder Wege mit dem Rad oder zu Fuß, um das 40%-Ziel zu erfüllen. Der CO</t>
    </r>
    <r>
      <rPr>
        <vertAlign val="subscript"/>
        <sz val="11"/>
        <color theme="1"/>
        <rFont val="Calibri"/>
        <family val="2"/>
        <scheme val="minor"/>
      </rPr>
      <t>2</t>
    </r>
    <r>
      <rPr>
        <sz val="11"/>
        <color theme="1"/>
        <rFont val="Calibri"/>
        <family val="2"/>
        <scheme val="minor"/>
      </rPr>
      <t>-Verkehrswende-Rechner berechnet Ihnen sofort den potentiellen Einsparbeitrag.</t>
    </r>
  </si>
  <si>
    <t>Erläuterungen / Datenherkunft</t>
  </si>
  <si>
    <t>Modal Split-Anteile nach Stadt-Größen gem. Bundesdurchschnittsdaten</t>
  </si>
  <si>
    <t>Eingegebene Einwohnerzahl</t>
  </si>
  <si>
    <t>Dazugehörig Stadt-Kategorie</t>
  </si>
  <si>
    <t>Zuordnung Stadtgröße zu Einwohnerzahl</t>
  </si>
  <si>
    <t>Felder dieser Farbe enthalten Daten, die aus dem Tabellenband der Studie "Mobilität in Deutschland 2008" entnommen wurden; Die Kategorien entsprechen den Gemeindegrößen im Tabellenband zur Studie "Mobilität in Deutschland (MiD) 2008"</t>
  </si>
  <si>
    <t>Zuordnung von durchschnittlichen Wegelängen je Verkehrsart nach Stadtgrößen</t>
  </si>
  <si>
    <t>Daraus wird in Spalte C die Gewichtung bzgl. des Durchschnitts berechnet: C3 = 88% besagt, dass in dieser Stadt der Durchschnittsweg 88% der Länge des Bundesdurchschnitts beträgt</t>
  </si>
  <si>
    <t>Datengrundlage der Rechnung / Erläuterung der Schritte</t>
  </si>
  <si>
    <t>Prüfsumme</t>
  </si>
  <si>
    <t>Einwohner*</t>
  </si>
  <si>
    <t>MS Fuß**</t>
  </si>
  <si>
    <t>MS Rad**</t>
  </si>
  <si>
    <t>MS ÖPNV**</t>
  </si>
  <si>
    <t>MS Auto Solo**</t>
  </si>
  <si>
    <t>MS Auto Mitfahrer</t>
  </si>
  <si>
    <t>Vergleich des CO2-Ausstoß pro Einwohner bzw. pro Stadt und Jahr bei den Landeshauptstädten Deutschlands</t>
  </si>
  <si>
    <t>MS Auto Mitfahrer ***</t>
  </si>
  <si>
    <t>*** Da die Summe der Modal-Split-Anteile bei den BVMI-Daten nicht immer 100% ergab, wurde dieser Fehler den zuberechnenden Mitfahrer-Anteilen zugeschlagen oder abgezogen. Der Modal-Split-Wert für die Mitfahrer wurde gebildet, in dem bei dem Original-Autofahrer-Anteil zu 3/4 auf den Alleine-Fahr-Verkehr und 1/4 auf den Mitfahr-Verkehr aufgeteilt wurde: Das entspricht bundesdurchschnittlichen Werten</t>
  </si>
  <si>
    <t>Original-Datenquelle BMVI *</t>
  </si>
  <si>
    <t>hier Einwohnerzahl eingeben</t>
  </si>
  <si>
    <t>hier den CO2-Ausstoß Ihrer Stadt pro Jahr im Verkehr ablesen</t>
  </si>
  <si>
    <t>hier den CO2-Ausstoß pro Einwohner und Jahr Ihrer Stadt im Verkehr ablesen</t>
  </si>
  <si>
    <t>hier die Zahl der zu reduzierenden Pkw-Alleine-Fahrten als negative Zahl eingeben</t>
  </si>
  <si>
    <t>hier entsprechend negative Zahlen für weniger Fahrten oder positive Zahlen für mehr Fahrten eingeben</t>
  </si>
  <si>
    <t>solange "durchspielen", bis hier 40% Einsparung in grüne Farbe anzeigt werden</t>
  </si>
  <si>
    <t>Bedienungsanleitung</t>
  </si>
  <si>
    <t>Berlin,05.11.2017 Diese kostenlose Version ist ausschließlich zum persönlichen, politischen oder ehrenamtlichen Gebrauch lizenisert. Jegliche kommerzielle Nutzung ist untersagt. Als Beta-Version können möglicherweise Fehler auftauchen, für die wir keine Gewähr übernehmen. Wer 100% wissenschaftlich korrekt seine CO2-Bilanz errechnen möchte, sollte dafür ein kostspieliges und langwierige Gutachten beauftragen. Die Werte von bereits bestehenden Gutachten werden vermutlich von hier zu berechnenden Werten abweichen, da wesentlich akribischer lokale Besonderheiten einbezogen werden, während der Verkehrswende-Rechnung mit Bundesdurchschnittsdaten rechnet. Viel Erfolg!</t>
  </si>
  <si>
    <t>Ein Projekt der Agentur für clevere Städte</t>
  </si>
  <si>
    <t>Und los geht’s mit dem Reiter &lt;Bedienungsanleitung&gt; und dann mit &lt;CO2-Rechner&gt;.</t>
  </si>
  <si>
    <t>PS: Wer sich die Grundlagen-Daten und Berechnungsmethodik anschauen will: in &lt;CO2&gt; stehen die angesetzten Werte für die Verkehrsarten. In &lt;Stadtgrößenzuordnung&gt; wird je nach Einwohnerzahl eine von sieben Stadtgrößen ausgewählt, die für die weitere Nutzung bundesweiter Durchschnittsdaten erforderlich ist. Bei &lt;Modal Split&gt; wird je Stadtgröße der Modal-Split-Wert angesetzt, sofern keine individuelle Angabe gemacht wurde. In &lt;Wegelängen&gt; werden gemäß der Stadtgröße die Wegelängen angepasst, die für die Gesamtberechnung dann erforderlich sind. in &lt;Rechner&gt; und &lt;Einzelschritte&gt; sind die Rechenschritte hinterlegt.</t>
  </si>
  <si>
    <r>
      <t>Der CO</t>
    </r>
    <r>
      <rPr>
        <b/>
        <vertAlign val="subscript"/>
        <sz val="28"/>
        <color theme="0"/>
        <rFont val="Calibri"/>
        <scheme val="minor"/>
      </rPr>
      <t>2</t>
    </r>
    <r>
      <rPr>
        <b/>
        <sz val="28"/>
        <color theme="0"/>
        <rFont val="Calibri"/>
        <scheme val="minor"/>
      </rPr>
      <t>-Verkehrswende-Rechner</t>
    </r>
  </si>
  <si>
    <t xml:space="preserve">hier Modal Split Werte für die fünf Verkehrsarten eingeben. Kennen Sie nur den Modal-Split-Wert für Pkw, dann setzen Sie 3/4 für Pkw-Alleine-Fahrten und 1/4 dieses Werte für Pkw-Mitfahren an. Ergibt die Prüfsumme nicht 100%, wird automatisch ein Bundesdurchschnittswert für die Stadtgröße angesetzt. </t>
  </si>
  <si>
    <t>**Gem BMVI-Modal-Split, Rundungsfehler enthalten, da Daten direkt aus der Originalquelle übernommen wurden (https://www.bmvi.de/SharedDocs/DE/Publikationen/K/radverkehr-in-zahlen.pdf?__blob=publicationFile)</t>
  </si>
  <si>
    <t>* Einwohner-Zahlen: Download Wikipedia 2.11.17 / überwiegend 2015; in der vollständigen Liste Großstädte zT Abweichungen (https://de.wikipedia.org/wiki/Liste_der_Großstädte_in_Deutschland)</t>
  </si>
  <si>
    <t>Anmerkung 1: Lt. Aktuellsten Zahlen liegt der durchschnittliche CO2-Ausstoß von E-Autos bei 149 Gramm CO2/km inkl. Vorketten und Strommix (Quelle: Bundesumweltministerium, Tweet des Staatssekretärs Jochen Flasbarth / https://twitter.com/JochenFlasbarth/status/926052818854862854). Diese Zahlen eingesetzt, zeigt sich nachwievor der enorme Verlagerungsbedarf auf den Radvekehr, den ÖPNV und die Kombination Rad und ÖPNV.</t>
  </si>
  <si>
    <t>Anmerkung 2: Es gibt durchaus weitere Daten, ggf. auch aktuellere Daten zu den CO2-Werten (siehe z.B. http://www.handelsblatt.com/unternehmen/industrie/co2-belastung-die-umstrittene-klimabilanz-des-elektroautos/20018160.html). Die CO2-Werte basieren einheitlich auf 2015-Daten. Die Modal-Split-Werte im Bundesbenchmark basieren i.d.R. auf der letzten großen Erhebung Mobilität in Deutschland von 2008 bzw. 2013. Aktuellere Zahlen besitzt auch das BMVI zur Zeit nicht.</t>
  </si>
  <si>
    <t xml:space="preserve">Anmerkung 3: Hier werden die Werte beim Pkw pro Fahrzeugkilometer angesetz (Alleine-Fahrer), bzw. des Mitfahrers als CO2/Pkm für einen Mitfahrer und beim ÖPNV ebenfalls CO2/Pkm.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</si>
</sst>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407]General"/>
    <numFmt numFmtId="165" formatCode="0.000"/>
    <numFmt numFmtId="166" formatCode="0.0"/>
    <numFmt numFmtId="167" formatCode="0.0%"/>
    <numFmt numFmtId="168" formatCode="_-* #,##0\ _€_-;\-* #,##0\ _€_-;_-* &quot;-&quot;??\ _€_-;_-@_-"/>
    <numFmt numFmtId="169" formatCode="_-* #,##0.0\ _€_-;\-* #,##0.0\ _€_-;_-* &quot;-&quot;??\ _€_-;_-@_-"/>
    <numFmt numFmtId="170" formatCode="#,##0.0"/>
  </numFmts>
  <fonts count="34" x14ac:knownFonts="1">
    <font>
      <sz val="11"/>
      <color theme="1"/>
      <name val="Calibri"/>
      <family val="2"/>
      <scheme val="minor"/>
    </font>
    <font>
      <sz val="11"/>
      <color rgb="FF000000"/>
      <name val="Calibri"/>
      <family val="2"/>
    </font>
    <font>
      <vertAlign val="subscrip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11"/>
      <color theme="1"/>
      <name val="Calibri"/>
      <scheme val="minor"/>
    </font>
    <font>
      <b/>
      <vertAlign val="subscript"/>
      <sz val="11"/>
      <color theme="1"/>
      <name val="Calibri"/>
      <scheme val="minor"/>
    </font>
    <font>
      <sz val="8"/>
      <name val="Calibri"/>
      <family val="2"/>
      <scheme val="minor"/>
    </font>
    <font>
      <b/>
      <sz val="26"/>
      <color rgb="FF14A4EB"/>
      <name val="Calibri"/>
      <scheme val="minor"/>
    </font>
    <font>
      <b/>
      <vertAlign val="subscript"/>
      <sz val="26"/>
      <color rgb="FF14A4EB"/>
      <name val="Calibri"/>
      <scheme val="minor"/>
    </font>
    <font>
      <sz val="11"/>
      <color rgb="FF14A4EB"/>
      <name val="Calibri"/>
      <scheme val="minor"/>
    </font>
    <font>
      <b/>
      <sz val="11"/>
      <color rgb="FF000000"/>
      <name val="Calibri"/>
    </font>
    <font>
      <b/>
      <sz val="11"/>
      <color theme="1"/>
      <name val="Calibri"/>
      <family val="2"/>
      <scheme val="minor"/>
    </font>
    <font>
      <b/>
      <sz val="11"/>
      <color rgb="FF000000"/>
      <name val="Calibri"/>
      <family val="2"/>
    </font>
    <font>
      <b/>
      <sz val="16"/>
      <color theme="1"/>
      <name val="Calibri"/>
      <family val="2"/>
      <scheme val="minor"/>
    </font>
    <font>
      <sz val="11"/>
      <name val="Calibri"/>
      <scheme val="minor"/>
    </font>
    <font>
      <sz val="9"/>
      <color indexed="81"/>
      <name val="Calibri"/>
      <family val="2"/>
    </font>
    <font>
      <b/>
      <sz val="9"/>
      <color indexed="81"/>
      <name val="Calibri"/>
      <family val="2"/>
    </font>
    <font>
      <sz val="11"/>
      <color theme="0"/>
      <name val="Calibri"/>
      <scheme val="minor"/>
    </font>
    <font>
      <b/>
      <sz val="12"/>
      <color theme="0"/>
      <name val="Calibri"/>
      <family val="2"/>
      <scheme val="minor"/>
    </font>
    <font>
      <b/>
      <sz val="11"/>
      <color theme="0"/>
      <name val="Calibri"/>
      <scheme val="minor"/>
    </font>
    <font>
      <vertAlign val="subscript"/>
      <sz val="11"/>
      <color theme="0"/>
      <name val="Calibri"/>
      <scheme val="minor"/>
    </font>
    <font>
      <sz val="11"/>
      <color theme="0"/>
      <name val="Calibri"/>
    </font>
    <font>
      <b/>
      <sz val="14"/>
      <color theme="1"/>
      <name val="Calibri"/>
      <scheme val="minor"/>
    </font>
    <font>
      <sz val="12"/>
      <color theme="0"/>
      <name val="Calibri"/>
      <family val="2"/>
      <scheme val="minor"/>
    </font>
    <font>
      <b/>
      <sz val="12"/>
      <name val="Calibri"/>
      <scheme val="minor"/>
    </font>
    <font>
      <b/>
      <vertAlign val="subscript"/>
      <sz val="14"/>
      <color theme="1"/>
      <name val="Calibri"/>
      <scheme val="minor"/>
    </font>
    <font>
      <b/>
      <sz val="11"/>
      <name val="Calibri"/>
      <scheme val="minor"/>
    </font>
    <font>
      <b/>
      <sz val="14"/>
      <color rgb="FF000000"/>
      <name val="Calibri"/>
    </font>
    <font>
      <b/>
      <sz val="12"/>
      <color rgb="FFFF0000"/>
      <name val="Calibri"/>
      <scheme val="minor"/>
    </font>
    <font>
      <sz val="10"/>
      <color theme="0"/>
      <name val="Calibri"/>
      <scheme val="minor"/>
    </font>
    <font>
      <b/>
      <sz val="28"/>
      <color theme="0"/>
      <name val="Calibri"/>
      <scheme val="minor"/>
    </font>
    <font>
      <b/>
      <vertAlign val="subscript"/>
      <sz val="28"/>
      <color theme="0"/>
      <name val="Calibri"/>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16B3EB"/>
        <bgColor indexed="64"/>
      </patternFill>
    </fill>
    <fill>
      <patternFill patternType="solid">
        <fgColor rgb="FF57D4F3"/>
        <bgColor indexed="64"/>
      </patternFill>
    </fill>
    <fill>
      <patternFill patternType="solid">
        <fgColor rgb="FF14A1E5"/>
        <bgColor indexed="64"/>
      </patternFill>
    </fill>
    <fill>
      <patternFill patternType="solid">
        <fgColor rgb="FFCCFFCC"/>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4BCBF0"/>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medium">
        <color auto="1"/>
      </left>
      <right style="medium">
        <color auto="1"/>
      </right>
      <top style="medium">
        <color auto="1"/>
      </top>
      <bottom style="medium">
        <color auto="1"/>
      </bottom>
      <diagonal/>
    </border>
  </borders>
  <cellStyleXfs count="293">
    <xf numFmtId="0" fontId="0" fillId="0" borderId="0"/>
    <xf numFmtId="164" fontId="1" fillId="0" borderId="0"/>
    <xf numFmtId="43"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98">
    <xf numFmtId="0" fontId="0" fillId="0" borderId="0" xfId="0"/>
    <xf numFmtId="0" fontId="0" fillId="0" borderId="0" xfId="0" applyAlignment="1">
      <alignment wrapText="1"/>
    </xf>
    <xf numFmtId="0" fontId="0" fillId="0" borderId="0" xfId="0" applyAlignment="1">
      <alignment horizontal="center"/>
    </xf>
    <xf numFmtId="165" fontId="0" fillId="0" borderId="0" xfId="0" applyNumberFormat="1"/>
    <xf numFmtId="2" fontId="0" fillId="0" borderId="0" xfId="0" applyNumberFormat="1"/>
    <xf numFmtId="166" fontId="0" fillId="0" borderId="0" xfId="0" applyNumberFormat="1"/>
    <xf numFmtId="1" fontId="0" fillId="0" borderId="0" xfId="0" applyNumberFormat="1"/>
    <xf numFmtId="0" fontId="0" fillId="0" borderId="0" xfId="0" applyAlignment="1">
      <alignment horizontal="left"/>
    </xf>
    <xf numFmtId="1" fontId="0" fillId="0" borderId="0" xfId="0" applyNumberFormat="1" applyAlignment="1">
      <alignment horizontal="right"/>
    </xf>
    <xf numFmtId="0" fontId="0" fillId="0" borderId="0" xfId="0" applyAlignment="1">
      <alignment horizontal="right"/>
    </xf>
    <xf numFmtId="0" fontId="0" fillId="4" borderId="0" xfId="0" applyFill="1"/>
    <xf numFmtId="0" fontId="0" fillId="4" borderId="0" xfId="0" applyFill="1" applyAlignment="1">
      <alignment wrapText="1"/>
    </xf>
    <xf numFmtId="9" fontId="0" fillId="0" borderId="0" xfId="3" applyFont="1"/>
    <xf numFmtId="0" fontId="0" fillId="2" borderId="0" xfId="0" applyFill="1"/>
    <xf numFmtId="0" fontId="0" fillId="2" borderId="0" xfId="0" applyFill="1" applyAlignment="1">
      <alignment horizontal="left"/>
    </xf>
    <xf numFmtId="0" fontId="0" fillId="2" borderId="0" xfId="0" applyFill="1" applyAlignment="1">
      <alignment horizontal="center" vertical="center"/>
    </xf>
    <xf numFmtId="3" fontId="0" fillId="2" borderId="0" xfId="0" applyNumberFormat="1" applyFill="1"/>
    <xf numFmtId="9" fontId="0" fillId="2" borderId="0" xfId="3" applyFont="1" applyFill="1"/>
    <xf numFmtId="0" fontId="0" fillId="2" borderId="0" xfId="0" applyFill="1" applyAlignment="1"/>
    <xf numFmtId="0" fontId="0" fillId="2" borderId="0" xfId="0" applyFill="1" applyBorder="1" applyAlignment="1"/>
    <xf numFmtId="0" fontId="0" fillId="2" borderId="0" xfId="0" applyFill="1" applyBorder="1"/>
    <xf numFmtId="0" fontId="0" fillId="0" borderId="0" xfId="0" applyAlignment="1">
      <alignment horizontal="center"/>
    </xf>
    <xf numFmtId="164" fontId="1" fillId="0" borderId="1" xfId="1" applyBorder="1" applyAlignment="1">
      <alignment horizontal="center" vertical="center" wrapText="1"/>
    </xf>
    <xf numFmtId="164" fontId="0" fillId="0" borderId="0" xfId="0" applyNumberFormat="1"/>
    <xf numFmtId="0" fontId="6" fillId="0" borderId="0" xfId="0" applyFont="1"/>
    <xf numFmtId="0" fontId="0" fillId="0" borderId="0" xfId="0" applyBorder="1" applyAlignment="1">
      <alignment horizontal="center" vertical="center"/>
    </xf>
    <xf numFmtId="169" fontId="1" fillId="0" borderId="0" xfId="2" applyNumberFormat="1" applyFont="1" applyFill="1" applyBorder="1" applyAlignment="1">
      <alignment vertical="center" wrapText="1"/>
    </xf>
    <xf numFmtId="0" fontId="0" fillId="0" borderId="0" xfId="0" applyBorder="1" applyAlignment="1">
      <alignment horizontal="left" vertical="center"/>
    </xf>
    <xf numFmtId="0" fontId="13" fillId="0" borderId="0" xfId="0" applyFont="1"/>
    <xf numFmtId="164" fontId="14" fillId="0" borderId="8" xfId="1" applyFont="1" applyBorder="1" applyAlignment="1">
      <alignment horizontal="center" vertical="center" wrapText="1"/>
    </xf>
    <xf numFmtId="164" fontId="14" fillId="0" borderId="9" xfId="1" applyFont="1" applyBorder="1" applyAlignment="1">
      <alignment horizontal="center" vertical="center" wrapText="1"/>
    </xf>
    <xf numFmtId="0" fontId="13" fillId="0" borderId="0" xfId="0" applyFont="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3" xfId="0" applyFont="1" applyBorder="1" applyAlignment="1">
      <alignment horizontal="center"/>
    </xf>
    <xf numFmtId="0" fontId="0" fillId="0" borderId="7" xfId="0" applyBorder="1" applyAlignment="1">
      <alignment horizontal="center"/>
    </xf>
    <xf numFmtId="0" fontId="13" fillId="0" borderId="7" xfId="0" applyFont="1" applyBorder="1" applyAlignment="1">
      <alignment horizontal="center"/>
    </xf>
    <xf numFmtId="0" fontId="13" fillId="0" borderId="10" xfId="0" applyFont="1" applyBorder="1" applyAlignment="1">
      <alignment horizontal="center" wrapText="1"/>
    </xf>
    <xf numFmtId="2" fontId="0" fillId="0" borderId="11" xfId="0" applyNumberFormat="1" applyBorder="1" applyAlignment="1">
      <alignment horizontal="center" vertical="center"/>
    </xf>
    <xf numFmtId="0" fontId="13" fillId="0" borderId="10" xfId="0" applyFont="1" applyBorder="1" applyAlignment="1">
      <alignment horizontal="center" vertical="center" wrapText="1"/>
    </xf>
    <xf numFmtId="2" fontId="0" fillId="0" borderId="12" xfId="0" applyNumberFormat="1" applyBorder="1" applyAlignment="1">
      <alignment horizontal="center" vertical="center"/>
    </xf>
    <xf numFmtId="166" fontId="0" fillId="0" borderId="11" xfId="0" applyNumberFormat="1" applyBorder="1" applyAlignment="1">
      <alignment horizontal="center" vertical="center"/>
    </xf>
    <xf numFmtId="166" fontId="0" fillId="0" borderId="12" xfId="0" applyNumberFormat="1" applyBorder="1" applyAlignment="1">
      <alignment horizontal="center" vertical="center"/>
    </xf>
    <xf numFmtId="0" fontId="13" fillId="0" borderId="0" xfId="0" applyFont="1" applyBorder="1" applyAlignment="1">
      <alignment horizontal="center"/>
    </xf>
    <xf numFmtId="0" fontId="0" fillId="0" borderId="0" xfId="0" applyBorder="1"/>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0" fillId="0" borderId="14" xfId="0" applyBorder="1" applyAlignment="1">
      <alignment horizontal="center" vertical="center"/>
    </xf>
    <xf numFmtId="0" fontId="13" fillId="0" borderId="7" xfId="0" applyFont="1" applyBorder="1" applyAlignment="1">
      <alignment horizontal="center" vertical="center"/>
    </xf>
    <xf numFmtId="167" fontId="0" fillId="0" borderId="11" xfId="3" applyNumberFormat="1" applyFont="1" applyBorder="1" applyAlignment="1">
      <alignment horizontal="center" vertical="center"/>
    </xf>
    <xf numFmtId="0" fontId="0" fillId="0" borderId="0" xfId="0" applyFill="1" applyBorder="1"/>
    <xf numFmtId="168" fontId="0" fillId="0" borderId="10" xfId="2" applyNumberFormat="1" applyFont="1" applyBorder="1" applyAlignment="1">
      <alignment horizontal="center" vertical="center"/>
    </xf>
    <xf numFmtId="168" fontId="0" fillId="0" borderId="11" xfId="2" applyNumberFormat="1" applyFont="1" applyBorder="1" applyAlignment="1">
      <alignment horizontal="center" vertical="center"/>
    </xf>
    <xf numFmtId="168" fontId="0" fillId="0" borderId="12" xfId="2" applyNumberFormat="1" applyFont="1" applyBorder="1" applyAlignment="1">
      <alignment horizontal="center" vertical="center"/>
    </xf>
    <xf numFmtId="167" fontId="0" fillId="0" borderId="12" xfId="3" applyNumberFormat="1" applyFont="1" applyBorder="1" applyAlignment="1">
      <alignment horizontal="center" vertical="center"/>
    </xf>
    <xf numFmtId="167" fontId="0" fillId="0" borderId="0" xfId="3" applyNumberFormat="1" applyFont="1" applyBorder="1" applyAlignment="1">
      <alignment horizontal="center" vertical="center"/>
    </xf>
    <xf numFmtId="168" fontId="0" fillId="0" borderId="0" xfId="2" applyNumberFormat="1" applyFont="1" applyBorder="1" applyAlignment="1">
      <alignment horizontal="center" vertical="center"/>
    </xf>
    <xf numFmtId="0" fontId="0" fillId="0" borderId="0" xfId="0" applyAlignment="1">
      <alignment horizontal="center"/>
    </xf>
    <xf numFmtId="0" fontId="0" fillId="2" borderId="13" xfId="0" applyFill="1" applyBorder="1"/>
    <xf numFmtId="0" fontId="0" fillId="0" borderId="0" xfId="0" applyAlignment="1">
      <alignment vertical="center"/>
    </xf>
    <xf numFmtId="0" fontId="0" fillId="0" borderId="0" xfId="0" applyAlignment="1">
      <alignment horizontal="center" vertical="center"/>
    </xf>
    <xf numFmtId="0" fontId="0" fillId="2" borderId="0" xfId="0" applyFill="1" applyAlignment="1">
      <alignment vertical="center"/>
    </xf>
    <xf numFmtId="0" fontId="19" fillId="4" borderId="0" xfId="0" applyFont="1" applyFill="1" applyAlignment="1">
      <alignment horizontal="center" vertical="center"/>
    </xf>
    <xf numFmtId="0" fontId="19" fillId="0" borderId="0" xfId="0" applyFont="1" applyAlignment="1">
      <alignment horizontal="center" vertical="center"/>
    </xf>
    <xf numFmtId="0" fontId="0" fillId="2" borderId="0" xfId="0" applyFill="1" applyAlignment="1">
      <alignment wrapText="1"/>
    </xf>
    <xf numFmtId="166" fontId="16" fillId="2" borderId="1" xfId="0" applyNumberFormat="1" applyFont="1" applyFill="1" applyBorder="1" applyAlignment="1">
      <alignment horizontal="left" vertical="center"/>
    </xf>
    <xf numFmtId="0" fontId="0" fillId="2" borderId="1" xfId="0" applyFill="1" applyBorder="1" applyAlignment="1">
      <alignment vertical="center"/>
    </xf>
    <xf numFmtId="3" fontId="0" fillId="2" borderId="0" xfId="0" applyNumberFormat="1" applyFont="1" applyFill="1" applyAlignment="1">
      <alignment horizontal="center" vertical="center"/>
    </xf>
    <xf numFmtId="0" fontId="0" fillId="2" borderId="0" xfId="0" applyFont="1" applyFill="1" applyAlignment="1">
      <alignment vertical="center"/>
    </xf>
    <xf numFmtId="0" fontId="0" fillId="2" borderId="0" xfId="0" applyFill="1" applyBorder="1" applyAlignment="1">
      <alignment vertical="center"/>
    </xf>
    <xf numFmtId="0" fontId="0" fillId="2" borderId="0" xfId="0" applyFill="1" applyAlignment="1">
      <alignment vertical="center" wrapText="1"/>
    </xf>
    <xf numFmtId="0" fontId="0" fillId="2" borderId="0" xfId="0" applyFont="1" applyFill="1" applyBorder="1" applyAlignment="1">
      <alignment vertical="center"/>
    </xf>
    <xf numFmtId="0" fontId="0" fillId="2" borderId="0" xfId="0" applyFill="1" applyAlignment="1">
      <alignment horizontal="right" vertical="center"/>
    </xf>
    <xf numFmtId="0" fontId="6" fillId="2" borderId="0" xfId="0" applyFont="1" applyFill="1" applyAlignment="1">
      <alignment horizontal="right" vertical="center"/>
    </xf>
    <xf numFmtId="168" fontId="20" fillId="5" borderId="0" xfId="2" applyNumberFormat="1" applyFont="1" applyFill="1" applyBorder="1" applyAlignment="1">
      <alignment vertical="center"/>
    </xf>
    <xf numFmtId="166" fontId="21" fillId="5" borderId="1" xfId="0" applyNumberFormat="1" applyFont="1" applyFill="1" applyBorder="1" applyAlignment="1">
      <alignment horizontal="center" vertical="center"/>
    </xf>
    <xf numFmtId="3" fontId="21" fillId="5" borderId="1" xfId="0" applyNumberFormat="1" applyFont="1" applyFill="1" applyBorder="1" applyAlignment="1">
      <alignment vertical="center"/>
    </xf>
    <xf numFmtId="0" fontId="19" fillId="6" borderId="1" xfId="0" applyFont="1" applyFill="1" applyBorder="1" applyAlignment="1">
      <alignment horizontal="center" vertical="center"/>
    </xf>
    <xf numFmtId="0" fontId="19" fillId="6" borderId="1" xfId="0" applyFont="1" applyFill="1" applyBorder="1" applyAlignment="1">
      <alignment horizontal="center" vertical="center" wrapText="1"/>
    </xf>
    <xf numFmtId="0" fontId="19" fillId="4" borderId="0" xfId="0" applyFont="1" applyFill="1"/>
    <xf numFmtId="0" fontId="19" fillId="0" borderId="0" xfId="0" applyFont="1"/>
    <xf numFmtId="0" fontId="6" fillId="0" borderId="2" xfId="164" applyFont="1" applyBorder="1"/>
    <xf numFmtId="0" fontId="3" fillId="0" borderId="0" xfId="164"/>
    <xf numFmtId="1" fontId="3" fillId="0" borderId="0" xfId="164" applyNumberFormat="1"/>
    <xf numFmtId="0" fontId="0" fillId="0" borderId="1" xfId="0" applyBorder="1" applyAlignment="1">
      <alignment vertical="center" wrapText="1"/>
    </xf>
    <xf numFmtId="164" fontId="1" fillId="0" borderId="1" xfId="1" applyBorder="1" applyAlignment="1">
      <alignment vertical="center" wrapText="1"/>
    </xf>
    <xf numFmtId="0" fontId="0" fillId="0" borderId="1" xfId="0" applyBorder="1" applyAlignment="1">
      <alignment vertical="center"/>
    </xf>
    <xf numFmtId="167" fontId="3" fillId="0" borderId="0" xfId="3" applyNumberFormat="1"/>
    <xf numFmtId="0" fontId="6" fillId="0" borderId="1" xfId="0" applyFont="1" applyBorder="1" applyAlignment="1">
      <alignment horizontal="center" vertical="center" wrapText="1"/>
    </xf>
    <xf numFmtId="49" fontId="0" fillId="2" borderId="0" xfId="0" applyNumberFormat="1" applyFill="1" applyAlignment="1">
      <alignment vertical="center"/>
    </xf>
    <xf numFmtId="168" fontId="26" fillId="5" borderId="0" xfId="2" applyNumberFormat="1" applyFont="1" applyFill="1" applyBorder="1" applyAlignment="1">
      <alignment horizontal="center" vertical="center"/>
    </xf>
    <xf numFmtId="168" fontId="26" fillId="8" borderId="0" xfId="2" applyNumberFormat="1" applyFont="1" applyFill="1" applyBorder="1" applyAlignment="1">
      <alignment horizontal="center" vertical="center"/>
    </xf>
    <xf numFmtId="168" fontId="26" fillId="7" borderId="0" xfId="2" applyNumberFormat="1" applyFont="1" applyFill="1" applyBorder="1" applyAlignment="1">
      <alignment horizontal="center" vertical="center"/>
    </xf>
    <xf numFmtId="168" fontId="26" fillId="3" borderId="0" xfId="2" applyNumberFormat="1" applyFont="1" applyFill="1" applyBorder="1" applyAlignment="1">
      <alignment horizontal="center" vertical="center"/>
    </xf>
    <xf numFmtId="166" fontId="0" fillId="7" borderId="1" xfId="0" applyNumberFormat="1" applyFill="1" applyBorder="1" applyAlignment="1">
      <alignment horizontal="center" vertical="center"/>
    </xf>
    <xf numFmtId="0" fontId="0" fillId="7" borderId="1" xfId="0" applyFill="1" applyBorder="1" applyAlignment="1">
      <alignment horizontal="center" vertical="center"/>
    </xf>
    <xf numFmtId="166" fontId="11" fillId="7" borderId="1" xfId="0" applyNumberFormat="1" applyFont="1" applyFill="1" applyBorder="1" applyAlignment="1">
      <alignment horizontal="center" vertical="center"/>
    </xf>
    <xf numFmtId="168" fontId="6" fillId="3" borderId="3" xfId="2" applyNumberFormat="1" applyFont="1" applyFill="1" applyBorder="1" applyAlignment="1">
      <alignment horizontal="right"/>
    </xf>
    <xf numFmtId="168" fontId="6" fillId="3" borderId="0" xfId="2" applyNumberFormat="1" applyFont="1" applyFill="1" applyBorder="1" applyAlignment="1">
      <alignment horizontal="right"/>
    </xf>
    <xf numFmtId="0" fontId="0" fillId="2" borderId="14" xfId="0" applyFill="1" applyBorder="1" applyAlignment="1">
      <alignment horizontal="right" vertical="center"/>
    </xf>
    <xf numFmtId="0" fontId="0" fillId="2" borderId="0" xfId="0" applyFill="1" applyBorder="1" applyAlignment="1">
      <alignment horizontal="right" vertical="center"/>
    </xf>
    <xf numFmtId="0" fontId="0" fillId="2" borderId="9" xfId="0" applyFill="1" applyBorder="1" applyAlignment="1">
      <alignment horizontal="right" vertical="center"/>
    </xf>
    <xf numFmtId="0" fontId="0" fillId="2" borderId="2" xfId="0" applyFill="1" applyBorder="1" applyAlignment="1">
      <alignment horizontal="right" vertical="center"/>
    </xf>
    <xf numFmtId="168" fontId="24" fillId="3" borderId="15" xfId="2" applyNumberFormat="1" applyFont="1" applyFill="1" applyBorder="1" applyAlignment="1">
      <alignment horizontal="right" vertical="center"/>
    </xf>
    <xf numFmtId="167" fontId="24" fillId="2" borderId="15" xfId="0" applyNumberFormat="1" applyFont="1" applyFill="1" applyBorder="1" applyAlignment="1">
      <alignment horizontal="center" vertical="center"/>
    </xf>
    <xf numFmtId="3" fontId="0" fillId="7" borderId="1" xfId="0" applyNumberFormat="1" applyFill="1" applyBorder="1" applyAlignment="1">
      <alignment vertical="center"/>
    </xf>
    <xf numFmtId="170" fontId="0" fillId="7" borderId="1" xfId="0" applyNumberFormat="1" applyFill="1" applyBorder="1" applyAlignment="1">
      <alignment vertical="center"/>
    </xf>
    <xf numFmtId="9" fontId="0" fillId="7" borderId="1" xfId="3" applyFont="1" applyFill="1" applyBorder="1" applyAlignment="1">
      <alignment vertical="center"/>
    </xf>
    <xf numFmtId="9" fontId="0" fillId="7" borderId="1" xfId="3" applyFont="1" applyFill="1" applyBorder="1" applyAlignment="1">
      <alignment horizontal="center" vertical="center"/>
    </xf>
    <xf numFmtId="167" fontId="0" fillId="7" borderId="1" xfId="3" applyNumberFormat="1" applyFont="1" applyFill="1" applyBorder="1" applyAlignment="1">
      <alignment horizontal="center" vertical="center"/>
    </xf>
    <xf numFmtId="169" fontId="28" fillId="8" borderId="1" xfId="2" applyNumberFormat="1" applyFont="1" applyFill="1" applyBorder="1" applyAlignment="1">
      <alignment horizontal="center" vertical="center"/>
    </xf>
    <xf numFmtId="0" fontId="0" fillId="0" borderId="1" xfId="0" applyFont="1" applyBorder="1" applyAlignment="1">
      <alignment horizontal="left" vertical="center" wrapText="1"/>
    </xf>
    <xf numFmtId="168" fontId="26" fillId="0" borderId="0" xfId="2" applyNumberFormat="1" applyFont="1" applyFill="1" applyBorder="1" applyAlignment="1">
      <alignment horizontal="center" vertical="center"/>
    </xf>
    <xf numFmtId="0" fontId="24" fillId="9" borderId="1" xfId="0" applyFont="1" applyFill="1" applyBorder="1" applyAlignment="1">
      <alignment vertical="center" wrapText="1"/>
    </xf>
    <xf numFmtId="0" fontId="24" fillId="9" borderId="1" xfId="0" applyFont="1" applyFill="1" applyBorder="1" applyAlignment="1">
      <alignment horizontal="center" vertical="center" wrapText="1"/>
    </xf>
    <xf numFmtId="0" fontId="24" fillId="9" borderId="1" xfId="0" applyFont="1" applyFill="1" applyBorder="1" applyAlignment="1">
      <alignment vertical="center"/>
    </xf>
    <xf numFmtId="169" fontId="1" fillId="8" borderId="1" xfId="2" applyNumberFormat="1" applyFont="1" applyFill="1" applyBorder="1" applyAlignment="1">
      <alignment vertical="center" wrapText="1"/>
    </xf>
    <xf numFmtId="164" fontId="1" fillId="9" borderId="1" xfId="1" applyFill="1" applyBorder="1" applyAlignment="1">
      <alignment horizontal="center" vertical="center" wrapText="1"/>
    </xf>
    <xf numFmtId="0" fontId="0" fillId="10" borderId="1" xfId="0" applyFill="1" applyBorder="1" applyAlignment="1">
      <alignment horizontal="center" vertical="center"/>
    </xf>
    <xf numFmtId="0" fontId="0" fillId="7" borderId="1" xfId="0" applyFill="1" applyBorder="1" applyAlignment="1">
      <alignment horizontal="center" wrapText="1"/>
    </xf>
    <xf numFmtId="166" fontId="0" fillId="7" borderId="1" xfId="0" applyNumberFormat="1" applyFill="1" applyBorder="1" applyAlignment="1">
      <alignment horizontal="center" wrapText="1"/>
    </xf>
    <xf numFmtId="0" fontId="0" fillId="8" borderId="0" xfId="0" applyFill="1"/>
    <xf numFmtId="0" fontId="0" fillId="11" borderId="1" xfId="0" applyFill="1" applyBorder="1" applyAlignment="1">
      <alignment horizontal="center" vertical="center"/>
    </xf>
    <xf numFmtId="164" fontId="1" fillId="8" borderId="1" xfId="1" applyFill="1" applyBorder="1" applyAlignment="1">
      <alignment vertical="center" wrapText="1"/>
    </xf>
    <xf numFmtId="0" fontId="6" fillId="9" borderId="1" xfId="0" applyFont="1" applyFill="1" applyBorder="1" applyAlignment="1">
      <alignment horizontal="center" vertical="center"/>
    </xf>
    <xf numFmtId="164" fontId="12" fillId="9" borderId="1" xfId="1" applyFont="1" applyFill="1" applyBorder="1" applyAlignment="1">
      <alignment horizontal="center" vertical="center" wrapText="1"/>
    </xf>
    <xf numFmtId="0" fontId="6" fillId="9" borderId="1" xfId="0" applyFont="1" applyFill="1" applyBorder="1" applyAlignment="1">
      <alignment horizontal="center" vertical="center" wrapText="1"/>
    </xf>
    <xf numFmtId="0" fontId="0" fillId="7" borderId="1" xfId="0" applyFill="1" applyBorder="1" applyAlignment="1">
      <alignment horizontal="center"/>
    </xf>
    <xf numFmtId="168" fontId="0" fillId="7" borderId="1" xfId="2" applyNumberFormat="1" applyFont="1" applyFill="1" applyBorder="1" applyAlignment="1"/>
    <xf numFmtId="164" fontId="1" fillId="10" borderId="1" xfId="1" applyFill="1" applyBorder="1" applyAlignment="1">
      <alignment horizontal="center" vertical="center" wrapText="1"/>
    </xf>
    <xf numFmtId="166" fontId="1" fillId="7" borderId="1" xfId="1" applyNumberFormat="1" applyFill="1" applyBorder="1" applyAlignment="1">
      <alignment horizontal="center" vertical="center" wrapText="1"/>
    </xf>
    <xf numFmtId="9" fontId="1" fillId="7" borderId="1" xfId="3" applyFont="1" applyFill="1" applyBorder="1" applyAlignment="1">
      <alignment horizontal="center" vertical="center" wrapText="1"/>
    </xf>
    <xf numFmtId="2" fontId="1" fillId="7" borderId="1" xfId="1" applyNumberFormat="1" applyFill="1" applyBorder="1" applyAlignment="1">
      <alignment horizontal="center" vertical="center" wrapText="1"/>
    </xf>
    <xf numFmtId="164" fontId="1" fillId="8" borderId="1" xfId="1" applyFill="1" applyBorder="1" applyAlignment="1">
      <alignment horizontal="center" vertical="center" wrapText="1"/>
    </xf>
    <xf numFmtId="2" fontId="0" fillId="7" borderId="1" xfId="0" applyNumberFormat="1" applyFill="1" applyBorder="1" applyAlignment="1">
      <alignment horizontal="center" vertical="center"/>
    </xf>
    <xf numFmtId="0" fontId="24" fillId="0" borderId="0" xfId="0" applyFont="1"/>
    <xf numFmtId="0" fontId="0" fillId="0" borderId="0" xfId="164" applyFont="1"/>
    <xf numFmtId="0" fontId="3" fillId="0" borderId="1" xfId="164" applyBorder="1"/>
    <xf numFmtId="2" fontId="3" fillId="7" borderId="1" xfId="164" applyNumberFormat="1" applyFill="1" applyBorder="1"/>
    <xf numFmtId="0" fontId="3" fillId="0" borderId="0" xfId="164" applyAlignment="1">
      <alignment horizontal="center"/>
    </xf>
    <xf numFmtId="0" fontId="6" fillId="10" borderId="1" xfId="164" applyFont="1" applyFill="1" applyBorder="1" applyAlignment="1">
      <alignment horizontal="center" vertical="center" wrapText="1"/>
    </xf>
    <xf numFmtId="0" fontId="3" fillId="0" borderId="1" xfId="164" applyBorder="1" applyAlignment="1">
      <alignment vertical="center"/>
    </xf>
    <xf numFmtId="168" fontId="3" fillId="8" borderId="1" xfId="2" applyNumberFormat="1" applyFont="1" applyFill="1" applyBorder="1" applyAlignment="1">
      <alignment vertical="center"/>
    </xf>
    <xf numFmtId="166" fontId="3" fillId="8" borderId="1" xfId="164" applyNumberFormat="1" applyFill="1" applyBorder="1" applyAlignment="1">
      <alignment horizontal="center" vertical="center"/>
    </xf>
    <xf numFmtId="166" fontId="3" fillId="7" borderId="1" xfId="164" applyNumberFormat="1" applyFill="1" applyBorder="1" applyAlignment="1">
      <alignment horizontal="center" vertical="center"/>
    </xf>
    <xf numFmtId="2" fontId="3" fillId="7" borderId="1" xfId="164" applyNumberFormat="1" applyFill="1" applyBorder="1" applyAlignment="1">
      <alignment vertical="center"/>
    </xf>
    <xf numFmtId="2" fontId="3" fillId="3" borderId="1" xfId="164" applyNumberFormat="1" applyFill="1" applyBorder="1" applyAlignment="1">
      <alignment horizontal="center" vertical="center"/>
    </xf>
    <xf numFmtId="168" fontId="3" fillId="3" borderId="1" xfId="164" applyNumberFormat="1" applyFill="1" applyBorder="1" applyAlignment="1">
      <alignment vertical="center"/>
    </xf>
    <xf numFmtId="0" fontId="3" fillId="0" borderId="0" xfId="164" applyAlignment="1">
      <alignment vertical="center"/>
    </xf>
    <xf numFmtId="49" fontId="31" fillId="4" borderId="0" xfId="0" applyNumberFormat="1" applyFont="1" applyFill="1" applyAlignment="1">
      <alignment horizontal="left" vertical="top" wrapText="1"/>
    </xf>
    <xf numFmtId="49" fontId="19" fillId="4" borderId="0" xfId="0" applyNumberFormat="1" applyFont="1" applyFill="1" applyAlignment="1">
      <alignment horizontal="left" vertical="center" wrapText="1"/>
    </xf>
    <xf numFmtId="49" fontId="23" fillId="4" borderId="0" xfId="0" applyNumberFormat="1" applyFont="1" applyFill="1" applyAlignment="1">
      <alignment horizontal="left" vertical="center" wrapText="1"/>
    </xf>
    <xf numFmtId="49" fontId="30" fillId="4" borderId="0" xfId="0" applyNumberFormat="1" applyFont="1" applyFill="1" applyAlignment="1">
      <alignment horizontal="left" vertical="center" wrapText="1"/>
    </xf>
    <xf numFmtId="0" fontId="19" fillId="4" borderId="0" xfId="0" applyFont="1" applyFill="1" applyBorder="1" applyAlignment="1">
      <alignment horizontal="left" vertical="center" wrapText="1"/>
    </xf>
    <xf numFmtId="0" fontId="32" fillId="4" borderId="0" xfId="0" applyFont="1" applyFill="1" applyBorder="1" applyAlignment="1">
      <alignment horizontal="center" vertical="center" wrapText="1"/>
    </xf>
    <xf numFmtId="0" fontId="25" fillId="4" borderId="0" xfId="0" applyFont="1" applyFill="1" applyAlignment="1">
      <alignment horizontal="right" vertical="top" wrapText="1"/>
    </xf>
    <xf numFmtId="0" fontId="19" fillId="4" borderId="0" xfId="0" applyFont="1" applyFill="1" applyAlignment="1">
      <alignment horizontal="right" vertical="top" wrapText="1"/>
    </xf>
    <xf numFmtId="0" fontId="20" fillId="4" borderId="0" xfId="0" applyFont="1" applyFill="1" applyAlignment="1">
      <alignment horizontal="left" vertical="center" wrapText="1"/>
    </xf>
    <xf numFmtId="0" fontId="24" fillId="0" borderId="0" xfId="0" applyFont="1" applyAlignment="1">
      <alignment horizontal="center" vertical="center" wrapText="1"/>
    </xf>
    <xf numFmtId="0" fontId="0" fillId="0" borderId="0" xfId="0" applyAlignment="1">
      <alignment horizontal="left" vertical="top" wrapText="1"/>
    </xf>
    <xf numFmtId="0" fontId="0" fillId="2" borderId="0" xfId="0" applyFill="1" applyAlignment="1">
      <alignment horizontal="left" wrapText="1"/>
    </xf>
    <xf numFmtId="0" fontId="9" fillId="2" borderId="2" xfId="0" applyFont="1" applyFill="1" applyBorder="1" applyAlignment="1">
      <alignment horizontal="center"/>
    </xf>
    <xf numFmtId="0" fontId="0" fillId="2" borderId="0" xfId="0" applyFill="1" applyAlignment="1">
      <alignment horizontal="left" vertical="center" wrapText="1"/>
    </xf>
    <xf numFmtId="0" fontId="0" fillId="2" borderId="0" xfId="0" applyFont="1" applyFill="1" applyAlignment="1">
      <alignment horizontal="right" vertical="center" wrapText="1"/>
    </xf>
    <xf numFmtId="0" fontId="0" fillId="2" borderId="0" xfId="0" applyFill="1" applyAlignment="1">
      <alignment horizontal="left" vertical="center"/>
    </xf>
    <xf numFmtId="0" fontId="0" fillId="2" borderId="0" xfId="0" applyFill="1" applyBorder="1" applyAlignment="1">
      <alignment horizontal="left" vertical="center"/>
    </xf>
    <xf numFmtId="0" fontId="0" fillId="2" borderId="12" xfId="0" applyFill="1" applyBorder="1" applyAlignment="1">
      <alignment horizontal="right"/>
    </xf>
    <xf numFmtId="0" fontId="0" fillId="2" borderId="3" xfId="0" applyFill="1" applyBorder="1" applyAlignment="1">
      <alignment horizontal="right"/>
    </xf>
    <xf numFmtId="0" fontId="0" fillId="2" borderId="3" xfId="0" applyFill="1" applyBorder="1" applyAlignment="1">
      <alignment horizontal="left"/>
    </xf>
    <xf numFmtId="0" fontId="0" fillId="2" borderId="10" xfId="0" applyFill="1" applyBorder="1" applyAlignment="1">
      <alignment horizontal="left"/>
    </xf>
    <xf numFmtId="0" fontId="0" fillId="2" borderId="14" xfId="0" applyFill="1" applyBorder="1" applyAlignment="1">
      <alignment horizontal="right"/>
    </xf>
    <xf numFmtId="0" fontId="0" fillId="2" borderId="0" xfId="0" applyFill="1" applyBorder="1" applyAlignment="1">
      <alignment horizontal="right"/>
    </xf>
    <xf numFmtId="0" fontId="0" fillId="2" borderId="0" xfId="0" applyFill="1" applyBorder="1" applyAlignment="1">
      <alignment horizontal="left"/>
    </xf>
    <xf numFmtId="0" fontId="0" fillId="2" borderId="13" xfId="0" applyFill="1" applyBorder="1" applyAlignment="1">
      <alignment horizontal="left"/>
    </xf>
    <xf numFmtId="0" fontId="0" fillId="2" borderId="0" xfId="0" applyFill="1" applyBorder="1" applyAlignment="1">
      <alignment horizontal="left" wrapText="1"/>
    </xf>
    <xf numFmtId="0" fontId="24" fillId="2" borderId="2" xfId="0" applyFont="1" applyFill="1" applyBorder="1" applyAlignment="1">
      <alignment horizontal="left" vertical="center"/>
    </xf>
    <xf numFmtId="0" fontId="24" fillId="2" borderId="7" xfId="0" applyFont="1" applyFill="1" applyBorder="1" applyAlignment="1">
      <alignment horizontal="left" vertical="center"/>
    </xf>
    <xf numFmtId="0" fontId="24" fillId="2" borderId="0" xfId="0" applyFont="1" applyFill="1" applyBorder="1" applyAlignment="1">
      <alignment horizontal="left" vertical="center"/>
    </xf>
    <xf numFmtId="0" fontId="24" fillId="2" borderId="13" xfId="0" applyFont="1" applyFill="1" applyBorder="1" applyAlignment="1">
      <alignment horizontal="left" vertical="center"/>
    </xf>
    <xf numFmtId="0" fontId="24" fillId="0" borderId="0" xfId="164" applyFont="1" applyAlignment="1">
      <alignment horizontal="center" vertical="center"/>
    </xf>
    <xf numFmtId="0" fontId="0" fillId="0" borderId="0" xfId="164" applyFont="1" applyAlignment="1">
      <alignment horizontal="left" vertical="top" wrapText="1"/>
    </xf>
    <xf numFmtId="0" fontId="0" fillId="0" borderId="0" xfId="164" applyFont="1" applyAlignment="1">
      <alignment horizontal="center" vertical="center"/>
    </xf>
    <xf numFmtId="0" fontId="24" fillId="0" borderId="2" xfId="0" applyFont="1" applyBorder="1" applyAlignment="1">
      <alignment horizontal="center" vertical="center"/>
    </xf>
    <xf numFmtId="0" fontId="0" fillId="0" borderId="0" xfId="0" applyAlignment="1">
      <alignment horizontal="left" wrapText="1"/>
    </xf>
    <xf numFmtId="164" fontId="29" fillId="0" borderId="2" xfId="1" applyFont="1" applyFill="1" applyBorder="1" applyAlignment="1">
      <alignment horizontal="center" vertical="center"/>
    </xf>
    <xf numFmtId="0" fontId="0" fillId="0" borderId="0" xfId="0" applyAlignment="1">
      <alignment horizontal="center" wrapText="1"/>
    </xf>
    <xf numFmtId="164" fontId="29" fillId="0" borderId="4" xfId="1" applyFont="1" applyFill="1" applyBorder="1" applyAlignment="1">
      <alignment horizontal="center" vertical="center" wrapText="1"/>
    </xf>
    <xf numFmtId="164" fontId="29" fillId="0" borderId="5" xfId="1" applyFont="1" applyFill="1" applyBorder="1" applyAlignment="1">
      <alignment horizontal="center" vertical="center" wrapText="1"/>
    </xf>
    <xf numFmtId="164" fontId="29" fillId="0" borderId="6" xfId="1" applyFont="1" applyFill="1" applyBorder="1" applyAlignment="1">
      <alignment horizontal="center" vertical="center" wrapText="1"/>
    </xf>
    <xf numFmtId="0" fontId="0" fillId="10" borderId="1" xfId="0" applyFill="1" applyBorder="1" applyAlignment="1">
      <alignment horizontal="center" vertical="center"/>
    </xf>
    <xf numFmtId="0" fontId="0" fillId="0" borderId="0" xfId="0" applyAlignment="1">
      <alignment horizontal="center" vertical="center" wrapText="1"/>
    </xf>
    <xf numFmtId="0" fontId="15" fillId="0" borderId="0" xfId="0" applyFont="1" applyAlignment="1">
      <alignment horizontal="left"/>
    </xf>
    <xf numFmtId="0" fontId="15" fillId="0" borderId="0" xfId="0" applyFont="1" applyAlignment="1">
      <alignment horizontal="center" vertical="center"/>
    </xf>
    <xf numFmtId="167" fontId="0" fillId="0" borderId="0" xfId="3" applyNumberFormat="1" applyFont="1" applyBorder="1" applyAlignment="1">
      <alignment horizontal="center" vertical="center" wrapText="1"/>
    </xf>
    <xf numFmtId="0" fontId="0" fillId="0" borderId="0" xfId="0" applyAlignment="1">
      <alignment horizontal="center"/>
    </xf>
    <xf numFmtId="168" fontId="26" fillId="12" borderId="0" xfId="2" applyNumberFormat="1" applyFont="1" applyFill="1" applyBorder="1" applyAlignment="1">
      <alignment horizontal="center" vertical="center"/>
    </xf>
    <xf numFmtId="168" fontId="3" fillId="12" borderId="1" xfId="2" applyNumberFormat="1" applyFont="1" applyFill="1" applyBorder="1"/>
    <xf numFmtId="166" fontId="3" fillId="12" borderId="1" xfId="164" applyNumberFormat="1" applyFill="1" applyBorder="1" applyAlignment="1">
      <alignment horizontal="center"/>
    </xf>
  </cellXfs>
  <cellStyles count="293">
    <cellStyle name="Besuchter Link" xfId="5" builtinId="9" hidden="1"/>
    <cellStyle name="Besuchter Link" xfId="7" builtinId="9" hidden="1"/>
    <cellStyle name="Besuchter Link" xfId="9" builtinId="9" hidden="1"/>
    <cellStyle name="Besuchter Link" xfId="11" builtinId="9" hidden="1"/>
    <cellStyle name="Besuchter Link" xfId="13" builtinId="9" hidden="1"/>
    <cellStyle name="Besuchter Link" xfId="15" builtinId="9" hidden="1"/>
    <cellStyle name="Besuchter Link" xfId="17" builtinId="9" hidden="1"/>
    <cellStyle name="Besuchter Link" xfId="19" builtinId="9" hidden="1"/>
    <cellStyle name="Besuchter Link" xfId="21" builtinId="9" hidden="1"/>
    <cellStyle name="Besuchter Link" xfId="23" builtinId="9" hidden="1"/>
    <cellStyle name="Besuchter Link" xfId="25" builtinId="9" hidden="1"/>
    <cellStyle name="Besuchter Link" xfId="27" builtinId="9" hidden="1"/>
    <cellStyle name="Besuchter Link" xfId="29" builtinId="9" hidden="1"/>
    <cellStyle name="Besuchter Link" xfId="31" builtinId="9" hidden="1"/>
    <cellStyle name="Besuchter Link" xfId="33" builtinId="9" hidden="1"/>
    <cellStyle name="Besuchter Link" xfId="35" builtinId="9" hidden="1"/>
    <cellStyle name="Besuchter Link" xfId="37" builtinId="9" hidden="1"/>
    <cellStyle name="Besuchter Link" xfId="39" builtinId="9" hidden="1"/>
    <cellStyle name="Besuchter Link" xfId="41" builtinId="9" hidden="1"/>
    <cellStyle name="Besuchter Link" xfId="43" builtinId="9" hidden="1"/>
    <cellStyle name="Besuchter Link" xfId="45" builtinId="9" hidden="1"/>
    <cellStyle name="Besuchter Link" xfId="47" builtinId="9" hidden="1"/>
    <cellStyle name="Besuchter Link" xfId="49" builtinId="9" hidden="1"/>
    <cellStyle name="Besuchter Link" xfId="51" builtinId="9" hidden="1"/>
    <cellStyle name="Besuchter Link" xfId="53" builtinId="9" hidden="1"/>
    <cellStyle name="Besuchter Link" xfId="55" builtinId="9" hidden="1"/>
    <cellStyle name="Besuchter Link" xfId="57" builtinId="9" hidden="1"/>
    <cellStyle name="Besuchter Link" xfId="59" builtinId="9" hidden="1"/>
    <cellStyle name="Besuchter Link" xfId="61" builtinId="9" hidden="1"/>
    <cellStyle name="Besuchter Link" xfId="63" builtinId="9" hidden="1"/>
    <cellStyle name="Besuchter Link" xfId="65" builtinId="9" hidden="1"/>
    <cellStyle name="Besuchter Link" xfId="67" builtinId="9" hidden="1"/>
    <cellStyle name="Besuchter Link" xfId="69" builtinId="9" hidden="1"/>
    <cellStyle name="Besuchter Link" xfId="71" builtinId="9" hidden="1"/>
    <cellStyle name="Besuchter Link" xfId="73" builtinId="9" hidden="1"/>
    <cellStyle name="Besuchter Link" xfId="75" builtinId="9" hidden="1"/>
    <cellStyle name="Besuchter Link" xfId="77" builtinId="9" hidden="1"/>
    <cellStyle name="Besuchter Link" xfId="79" builtinId="9" hidden="1"/>
    <cellStyle name="Besuchter Link" xfId="81" builtinId="9" hidden="1"/>
    <cellStyle name="Besuchter Link" xfId="83" builtinId="9" hidden="1"/>
    <cellStyle name="Besuchter Link" xfId="85" builtinId="9" hidden="1"/>
    <cellStyle name="Besuchter Link" xfId="87" builtinId="9" hidden="1"/>
    <cellStyle name="Besuchter Link" xfId="89" builtinId="9" hidden="1"/>
    <cellStyle name="Besuchter Link" xfId="91" builtinId="9" hidden="1"/>
    <cellStyle name="Besuchter Link" xfId="93" builtinId="9" hidden="1"/>
    <cellStyle name="Besuchter Link" xfId="95" builtinId="9" hidden="1"/>
    <cellStyle name="Besuchter Link" xfId="97" builtinId="9" hidden="1"/>
    <cellStyle name="Besuchter Link" xfId="99" builtinId="9" hidden="1"/>
    <cellStyle name="Besuchter Link" xfId="101" builtinId="9" hidden="1"/>
    <cellStyle name="Besuchter Link" xfId="103" builtinId="9" hidden="1"/>
    <cellStyle name="Besuchter Link" xfId="105" builtinId="9" hidden="1"/>
    <cellStyle name="Besuchter Link" xfId="107" builtinId="9" hidden="1"/>
    <cellStyle name="Besuchter Link" xfId="109" builtinId="9" hidden="1"/>
    <cellStyle name="Besuchter Link" xfId="111" builtinId="9" hidden="1"/>
    <cellStyle name="Besuchter Link" xfId="113" builtinId="9" hidden="1"/>
    <cellStyle name="Besuchter Link" xfId="115" builtinId="9" hidden="1"/>
    <cellStyle name="Besuchter Link" xfId="117" builtinId="9" hidden="1"/>
    <cellStyle name="Besuchter Link" xfId="119" builtinId="9" hidden="1"/>
    <cellStyle name="Besuchter Link" xfId="121" builtinId="9" hidden="1"/>
    <cellStyle name="Besuchter Link" xfId="123" builtinId="9" hidden="1"/>
    <cellStyle name="Besuchter Link" xfId="125" builtinId="9" hidden="1"/>
    <cellStyle name="Besuchter Link" xfId="127" builtinId="9" hidden="1"/>
    <cellStyle name="Besuchter Link" xfId="129" builtinId="9" hidden="1"/>
    <cellStyle name="Besuchter Link" xfId="131" builtinId="9" hidden="1"/>
    <cellStyle name="Besuchter Link" xfId="133" builtinId="9" hidden="1"/>
    <cellStyle name="Besuchter Link" xfId="135" builtinId="9" hidden="1"/>
    <cellStyle name="Besuchter Link" xfId="137" builtinId="9" hidden="1"/>
    <cellStyle name="Besuchter Link" xfId="139" builtinId="9" hidden="1"/>
    <cellStyle name="Besuchter Link" xfId="141" builtinId="9" hidden="1"/>
    <cellStyle name="Besuchter Link" xfId="143" builtinId="9" hidden="1"/>
    <cellStyle name="Besuchter Link" xfId="145" builtinId="9" hidden="1"/>
    <cellStyle name="Besuchter Link" xfId="147" builtinId="9" hidden="1"/>
    <cellStyle name="Besuchter Link" xfId="149" builtinId="9" hidden="1"/>
    <cellStyle name="Besuchter Link" xfId="151" builtinId="9" hidden="1"/>
    <cellStyle name="Besuchter Link" xfId="153" builtinId="9" hidden="1"/>
    <cellStyle name="Besuchter Link" xfId="155" builtinId="9" hidden="1"/>
    <cellStyle name="Besuchter Link" xfId="157" builtinId="9" hidden="1"/>
    <cellStyle name="Besuchter Link" xfId="159" builtinId="9" hidden="1"/>
    <cellStyle name="Besuchter Link" xfId="161" builtinId="9" hidden="1"/>
    <cellStyle name="Besuchter Link" xfId="163" builtinId="9" hidden="1"/>
    <cellStyle name="Besuchter Link" xfId="166" builtinId="9" hidden="1"/>
    <cellStyle name="Besuchter Link" xfId="168" builtinId="9" hidden="1"/>
    <cellStyle name="Besuchter Link" xfId="170" builtinId="9" hidden="1"/>
    <cellStyle name="Besuchter Link" xfId="172" builtinId="9" hidden="1"/>
    <cellStyle name="Besuchter Link" xfId="174" builtinId="9" hidden="1"/>
    <cellStyle name="Besuchter Link" xfId="176" builtinId="9" hidden="1"/>
    <cellStyle name="Besuchter Link" xfId="178" builtinId="9" hidden="1"/>
    <cellStyle name="Besuchter Link" xfId="180" builtinId="9" hidden="1"/>
    <cellStyle name="Besuchter Link" xfId="182" builtinId="9" hidden="1"/>
    <cellStyle name="Besuchter Link" xfId="184" builtinId="9" hidden="1"/>
    <cellStyle name="Besuchter Link" xfId="186" builtinId="9" hidden="1"/>
    <cellStyle name="Besuchter Link" xfId="188" builtinId="9" hidden="1"/>
    <cellStyle name="Besuchter Link" xfId="190" builtinId="9" hidden="1"/>
    <cellStyle name="Besuchter Link" xfId="192" builtinId="9" hidden="1"/>
    <cellStyle name="Besuchter Link" xfId="194" builtinId="9" hidden="1"/>
    <cellStyle name="Besuchter Link" xfId="196" builtinId="9" hidden="1"/>
    <cellStyle name="Besuchter Link" xfId="198" builtinId="9" hidden="1"/>
    <cellStyle name="Besuchter Link" xfId="200" builtinId="9" hidden="1"/>
    <cellStyle name="Besuchter Link" xfId="202" builtinId="9" hidden="1"/>
    <cellStyle name="Besuchter Link" xfId="204" builtinId="9" hidden="1"/>
    <cellStyle name="Besuchter Link" xfId="206" builtinId="9" hidden="1"/>
    <cellStyle name="Besuchter Link" xfId="208" builtinId="9" hidden="1"/>
    <cellStyle name="Besuchter Link" xfId="210" builtinId="9" hidden="1"/>
    <cellStyle name="Besuchter Link" xfId="212" builtinId="9" hidden="1"/>
    <cellStyle name="Besuchter Link" xfId="214" builtinId="9" hidden="1"/>
    <cellStyle name="Besuchter Link" xfId="216" builtinId="9" hidden="1"/>
    <cellStyle name="Besuchter Link" xfId="218" builtinId="9" hidden="1"/>
    <cellStyle name="Besuchter Link" xfId="220" builtinId="9" hidden="1"/>
    <cellStyle name="Besuchter Link" xfId="222" builtinId="9" hidden="1"/>
    <cellStyle name="Besuchter Link" xfId="224" builtinId="9" hidden="1"/>
    <cellStyle name="Besuchter Link" xfId="226" builtinId="9" hidden="1"/>
    <cellStyle name="Besuchter Link" xfId="228" builtinId="9" hidden="1"/>
    <cellStyle name="Besuchter Link" xfId="230" builtinId="9" hidden="1"/>
    <cellStyle name="Besuchter Link" xfId="232" builtinId="9" hidden="1"/>
    <cellStyle name="Besuchter Link" xfId="234" builtinId="9" hidden="1"/>
    <cellStyle name="Besuchter Link" xfId="236" builtinId="9" hidden="1"/>
    <cellStyle name="Besuchter Link" xfId="238" builtinId="9" hidden="1"/>
    <cellStyle name="Besuchter Link" xfId="240" builtinId="9" hidden="1"/>
    <cellStyle name="Besuchter Link" xfId="242" builtinId="9" hidden="1"/>
    <cellStyle name="Besuchter Link" xfId="244" builtinId="9" hidden="1"/>
    <cellStyle name="Besuchter Link" xfId="246" builtinId="9" hidden="1"/>
    <cellStyle name="Besuchter Link" xfId="248" builtinId="9" hidden="1"/>
    <cellStyle name="Besuchter Link" xfId="250" builtinId="9" hidden="1"/>
    <cellStyle name="Besuchter Link" xfId="252" builtinId="9" hidden="1"/>
    <cellStyle name="Besuchter Link" xfId="254" builtinId="9" hidden="1"/>
    <cellStyle name="Besuchter Link" xfId="256" builtinId="9" hidden="1"/>
    <cellStyle name="Besuchter Link" xfId="258" builtinId="9" hidden="1"/>
    <cellStyle name="Besuchter Link" xfId="260" builtinId="9" hidden="1"/>
    <cellStyle name="Besuchter Link" xfId="262" builtinId="9" hidden="1"/>
    <cellStyle name="Besuchter Link" xfId="264" builtinId="9" hidden="1"/>
    <cellStyle name="Besuchter Link" xfId="266" builtinId="9" hidden="1"/>
    <cellStyle name="Besuchter Link" xfId="268" builtinId="9" hidden="1"/>
    <cellStyle name="Besuchter Link" xfId="270" builtinId="9" hidden="1"/>
    <cellStyle name="Besuchter Link" xfId="272" builtinId="9" hidden="1"/>
    <cellStyle name="Besuchter Link" xfId="274" builtinId="9" hidden="1"/>
    <cellStyle name="Besuchter Link" xfId="276" builtinId="9" hidden="1"/>
    <cellStyle name="Besuchter Link" xfId="278" builtinId="9" hidden="1"/>
    <cellStyle name="Besuchter Link" xfId="280" builtinId="9" hidden="1"/>
    <cellStyle name="Besuchter Link" xfId="282" builtinId="9" hidden="1"/>
    <cellStyle name="Besuchter Link" xfId="284" builtinId="9" hidden="1"/>
    <cellStyle name="Besuchter Link" xfId="286" builtinId="9" hidden="1"/>
    <cellStyle name="Besuchter Link" xfId="288" builtinId="9" hidden="1"/>
    <cellStyle name="Besuchter Link" xfId="290" builtinId="9" hidden="1"/>
    <cellStyle name="Besuchter Link" xfId="292" builtinId="9" hidden="1"/>
    <cellStyle name="Dezimal" xfId="2" builtinId="3"/>
    <cellStyle name="Excel Built-in Normal" xfId="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Link" xfId="64" builtinId="8" hidden="1"/>
    <cellStyle name="Link" xfId="66" builtinId="8" hidden="1"/>
    <cellStyle name="Link" xfId="68" builtinId="8" hidden="1"/>
    <cellStyle name="Link" xfId="70" builtinId="8" hidden="1"/>
    <cellStyle name="Link" xfId="72" builtinId="8" hidden="1"/>
    <cellStyle name="Link" xfId="74" builtinId="8" hidden="1"/>
    <cellStyle name="Link" xfId="76" builtinId="8" hidden="1"/>
    <cellStyle name="Link" xfId="78" builtinId="8" hidden="1"/>
    <cellStyle name="Link" xfId="80" builtinId="8" hidden="1"/>
    <cellStyle name="Link" xfId="82" builtinId="8" hidden="1"/>
    <cellStyle name="Link" xfId="84" builtinId="8" hidden="1"/>
    <cellStyle name="Link" xfId="86" builtinId="8" hidden="1"/>
    <cellStyle name="Link" xfId="88" builtinId="8" hidden="1"/>
    <cellStyle name="Link" xfId="90" builtinId="8" hidden="1"/>
    <cellStyle name="Link" xfId="92" builtinId="8" hidden="1"/>
    <cellStyle name="Link" xfId="94" builtinId="8" hidden="1"/>
    <cellStyle name="Link" xfId="96" builtinId="8" hidden="1"/>
    <cellStyle name="Link" xfId="98" builtinId="8" hidden="1"/>
    <cellStyle name="Link" xfId="100" builtinId="8" hidden="1"/>
    <cellStyle name="Link" xfId="102" builtinId="8" hidden="1"/>
    <cellStyle name="Link" xfId="104" builtinId="8" hidden="1"/>
    <cellStyle name="Link" xfId="106" builtinId="8" hidden="1"/>
    <cellStyle name="Link" xfId="108" builtinId="8" hidden="1"/>
    <cellStyle name="Link" xfId="110" builtinId="8" hidden="1"/>
    <cellStyle name="Link" xfId="112" builtinId="8" hidden="1"/>
    <cellStyle name="Link" xfId="114" builtinId="8" hidden="1"/>
    <cellStyle name="Link" xfId="116" builtinId="8" hidden="1"/>
    <cellStyle name="Link" xfId="118" builtinId="8" hidden="1"/>
    <cellStyle name="Link" xfId="120" builtinId="8" hidden="1"/>
    <cellStyle name="Link" xfId="122" builtinId="8" hidden="1"/>
    <cellStyle name="Link" xfId="124" builtinId="8" hidden="1"/>
    <cellStyle name="Link" xfId="126" builtinId="8" hidden="1"/>
    <cellStyle name="Link" xfId="128" builtinId="8" hidden="1"/>
    <cellStyle name="Link" xfId="130" builtinId="8" hidden="1"/>
    <cellStyle name="Link" xfId="132" builtinId="8" hidden="1"/>
    <cellStyle name="Link" xfId="134" builtinId="8" hidden="1"/>
    <cellStyle name="Link" xfId="136" builtinId="8" hidden="1"/>
    <cellStyle name="Link" xfId="138" builtinId="8" hidden="1"/>
    <cellStyle name="Link" xfId="140" builtinId="8" hidden="1"/>
    <cellStyle name="Link" xfId="142" builtinId="8" hidden="1"/>
    <cellStyle name="Link" xfId="144" builtinId="8" hidden="1"/>
    <cellStyle name="Link" xfId="146" builtinId="8" hidden="1"/>
    <cellStyle name="Link" xfId="148" builtinId="8" hidden="1"/>
    <cellStyle name="Link" xfId="150" builtinId="8" hidden="1"/>
    <cellStyle name="Link" xfId="152" builtinId="8" hidden="1"/>
    <cellStyle name="Link" xfId="154" builtinId="8" hidden="1"/>
    <cellStyle name="Link" xfId="156" builtinId="8" hidden="1"/>
    <cellStyle name="Link" xfId="158" builtinId="8" hidden="1"/>
    <cellStyle name="Link" xfId="160" builtinId="8" hidden="1"/>
    <cellStyle name="Link" xfId="162"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7"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3" builtinId="8" hidden="1"/>
    <cellStyle name="Link" xfId="225" builtinId="8" hidden="1"/>
    <cellStyle name="Link" xfId="227" builtinId="8" hidden="1"/>
    <cellStyle name="Link" xfId="229" builtinId="8" hidden="1"/>
    <cellStyle name="Link" xfId="231" builtinId="8" hidden="1"/>
    <cellStyle name="Link" xfId="233" builtinId="8" hidden="1"/>
    <cellStyle name="Link" xfId="235" builtinId="8" hidden="1"/>
    <cellStyle name="Link" xfId="237" builtinId="8" hidden="1"/>
    <cellStyle name="Link" xfId="239" builtinId="8" hidden="1"/>
    <cellStyle name="Link" xfId="241" builtinId="8" hidden="1"/>
    <cellStyle name="Link" xfId="243" builtinId="8" hidden="1"/>
    <cellStyle name="Link" xfId="245" builtinId="8" hidden="1"/>
    <cellStyle name="Link" xfId="247" builtinId="8" hidden="1"/>
    <cellStyle name="Link" xfId="249" builtinId="8" hidden="1"/>
    <cellStyle name="Link" xfId="251" builtinId="8" hidden="1"/>
    <cellStyle name="Link" xfId="253" builtinId="8" hidden="1"/>
    <cellStyle name="Link" xfId="255" builtinId="8" hidden="1"/>
    <cellStyle name="Link" xfId="257" builtinId="8" hidden="1"/>
    <cellStyle name="Link" xfId="259" builtinId="8" hidden="1"/>
    <cellStyle name="Link" xfId="261" builtinId="8" hidden="1"/>
    <cellStyle name="Link" xfId="263" builtinId="8" hidden="1"/>
    <cellStyle name="Link" xfId="265" builtinId="8" hidden="1"/>
    <cellStyle name="Link" xfId="267" builtinId="8" hidden="1"/>
    <cellStyle name="Link" xfId="269" builtinId="8" hidden="1"/>
    <cellStyle name="Link" xfId="271" builtinId="8" hidden="1"/>
    <cellStyle name="Link" xfId="273" builtinId="8" hidden="1"/>
    <cellStyle name="Link" xfId="275" builtinId="8" hidden="1"/>
    <cellStyle name="Link" xfId="277" builtinId="8" hidden="1"/>
    <cellStyle name="Link" xfId="279" builtinId="8" hidden="1"/>
    <cellStyle name="Link" xfId="281" builtinId="8" hidden="1"/>
    <cellStyle name="Link" xfId="283" builtinId="8" hidden="1"/>
    <cellStyle name="Link" xfId="285" builtinId="8" hidden="1"/>
    <cellStyle name="Link" xfId="287" builtinId="8" hidden="1"/>
    <cellStyle name="Link" xfId="289" builtinId="8" hidden="1"/>
    <cellStyle name="Link" xfId="291" builtinId="8" hidden="1"/>
    <cellStyle name="Normal 2" xfId="164"/>
    <cellStyle name="Prozent" xfId="3" builtinId="5"/>
    <cellStyle name="Standard" xfId="0" builtinId="0"/>
  </cellStyles>
  <dxfs count="2">
    <dxf>
      <font>
        <color rgb="FF3366FF"/>
      </font>
      <fill>
        <patternFill patternType="solid">
          <fgColor indexed="64"/>
          <bgColor theme="4" tint="0.79998168889431442"/>
        </patternFill>
      </fill>
    </dxf>
    <dxf>
      <font>
        <color rgb="FF9C0006"/>
      </font>
      <fill>
        <patternFill>
          <bgColor rgb="FFFFC7CE"/>
        </patternFill>
      </fill>
    </dxf>
  </dxfs>
  <tableStyles count="0" defaultTableStyle="TableStyleMedium2" defaultPivotStyle="PivotStyleLight16"/>
  <colors>
    <mruColors>
      <color rgb="FF16B3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50800</xdr:colOff>
      <xdr:row>1</xdr:row>
      <xdr:rowOff>30480</xdr:rowOff>
    </xdr:from>
    <xdr:to>
      <xdr:col>6</xdr:col>
      <xdr:colOff>1483459</xdr:colOff>
      <xdr:row>4</xdr:row>
      <xdr:rowOff>162560</xdr:rowOff>
    </xdr:to>
    <xdr:pic>
      <xdr:nvPicPr>
        <xdr:cNvPr id="2" name="Bild 1" descr="Initiative_CS_RGB.png"/>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181600" y="396240"/>
          <a:ext cx="2611219" cy="71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317500</xdr:colOff>
      <xdr:row>1</xdr:row>
      <xdr:rowOff>63500</xdr:rowOff>
    </xdr:from>
    <xdr:to>
      <xdr:col>6</xdr:col>
      <xdr:colOff>468536</xdr:colOff>
      <xdr:row>36</xdr:row>
      <xdr:rowOff>101600</xdr:rowOff>
    </xdr:to>
    <xdr:pic>
      <xdr:nvPicPr>
        <xdr:cNvPr id="3" name="Bild 2"/>
        <xdr:cNvPicPr>
          <a:picLocks noChangeAspect="1"/>
        </xdr:cNvPicPr>
      </xdr:nvPicPr>
      <xdr:blipFill>
        <a:blip xmlns:r="http://schemas.openxmlformats.org/officeDocument/2006/relationships" r:embed="rId1"/>
        <a:stretch>
          <a:fillRect/>
        </a:stretch>
      </xdr:blipFill>
      <xdr:spPr>
        <a:xfrm>
          <a:off x="317500" y="241300"/>
          <a:ext cx="5104036" cy="6235700"/>
        </a:xfrm>
        <a:prstGeom prst="rect">
          <a:avLst/>
        </a:prstGeom>
        <a:ln>
          <a:solidFill>
            <a:srgbClr val="7F7F7F"/>
          </a:solidFill>
        </a:ln>
        <a:effectLst>
          <a:outerShdw blurRad="63500" sx="102000" sy="102000" algn="ctr"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223521</xdr:colOff>
      <xdr:row>24</xdr:row>
      <xdr:rowOff>404283</xdr:rowOff>
    </xdr:from>
    <xdr:to>
      <xdr:col>11</xdr:col>
      <xdr:colOff>256152</xdr:colOff>
      <xdr:row>41</xdr:row>
      <xdr:rowOff>162560</xdr:rowOff>
    </xdr:to>
    <xdr:pic>
      <xdr:nvPicPr>
        <xdr:cNvPr id="2" name="Bild 1"/>
        <xdr:cNvPicPr>
          <a:picLocks noChangeAspect="1"/>
        </xdr:cNvPicPr>
      </xdr:nvPicPr>
      <xdr:blipFill>
        <a:blip xmlns:r="http://schemas.openxmlformats.org/officeDocument/2006/relationships" r:embed="rId1"/>
        <a:stretch>
          <a:fillRect/>
        </a:stretch>
      </xdr:blipFill>
      <xdr:spPr>
        <a:xfrm>
          <a:off x="7376161" y="6134523"/>
          <a:ext cx="2643751" cy="34565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330200</xdr:colOff>
      <xdr:row>1</xdr:row>
      <xdr:rowOff>12700</xdr:rowOff>
    </xdr:from>
    <xdr:to>
      <xdr:col>8</xdr:col>
      <xdr:colOff>554332</xdr:colOff>
      <xdr:row>27</xdr:row>
      <xdr:rowOff>114300</xdr:rowOff>
    </xdr:to>
    <xdr:pic>
      <xdr:nvPicPr>
        <xdr:cNvPr id="2" name="Bild 1" descr="171105 Benchmark CO2-Ausstoß pro Kopf.png"/>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330200" y="190500"/>
          <a:ext cx="6828132" cy="4724400"/>
        </a:xfrm>
        <a:prstGeom prst="rect">
          <a:avLst/>
        </a:prstGeom>
        <a:ln>
          <a:solidFill>
            <a:schemeClr val="bg1">
              <a:lumMod val="50000"/>
            </a:schemeClr>
          </a:solidFill>
        </a:ln>
      </xdr:spPr>
    </xdr:pic>
    <xdr:clientData/>
  </xdr:twoCellAnchor>
  <xdr:twoCellAnchor editAs="oneCell">
    <xdr:from>
      <xdr:col>9</xdr:col>
      <xdr:colOff>0</xdr:colOff>
      <xdr:row>1</xdr:row>
      <xdr:rowOff>12700</xdr:rowOff>
    </xdr:from>
    <xdr:to>
      <xdr:col>17</xdr:col>
      <xdr:colOff>224132</xdr:colOff>
      <xdr:row>27</xdr:row>
      <xdr:rowOff>114300</xdr:rowOff>
    </xdr:to>
    <xdr:pic>
      <xdr:nvPicPr>
        <xdr:cNvPr id="3" name="Bild 2" descr="171105 Benchmark CO2-Ausstoß pro Stadt.png"/>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a:xfrm>
          <a:off x="7429500" y="190500"/>
          <a:ext cx="6828132" cy="4724400"/>
        </a:xfrm>
        <a:prstGeom prst="rect">
          <a:avLst/>
        </a:prstGeom>
        <a:ln>
          <a:solidFill>
            <a:schemeClr val="bg1">
              <a:lumMod val="50000"/>
            </a:schemeClr>
          </a:solid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9"/>
  <sheetViews>
    <sheetView showGridLines="0" showRowColHeaders="0" tabSelected="1" zoomScale="125" zoomScaleNormal="125" zoomScalePageLayoutView="125" workbookViewId="0"/>
  </sheetViews>
  <sheetFormatPr baseColWidth="10" defaultRowHeight="14" x14ac:dyDescent="0"/>
  <cols>
    <col min="1" max="1" width="2.33203125" customWidth="1"/>
    <col min="2" max="6" width="15.5" customWidth="1"/>
    <col min="7" max="7" width="19.83203125" customWidth="1"/>
  </cols>
  <sheetData>
    <row r="1" spans="1:29" ht="13" customHeight="1">
      <c r="A1" s="10"/>
      <c r="B1" s="11"/>
      <c r="C1" s="11"/>
      <c r="D1" s="11"/>
      <c r="E1" s="11"/>
      <c r="F1" s="11"/>
      <c r="G1" s="11"/>
      <c r="H1" s="10"/>
      <c r="I1" s="10"/>
      <c r="J1" s="10"/>
      <c r="K1" s="10"/>
      <c r="L1" s="10"/>
      <c r="M1" s="10"/>
      <c r="N1" s="10"/>
      <c r="O1" s="10"/>
      <c r="P1" s="10"/>
      <c r="Q1" s="10"/>
      <c r="R1" s="10"/>
      <c r="S1" s="10"/>
      <c r="T1" s="10"/>
      <c r="U1" s="10"/>
      <c r="V1" s="10"/>
      <c r="W1" s="10"/>
      <c r="X1" s="10"/>
      <c r="Y1" s="10"/>
      <c r="Z1" s="10"/>
      <c r="AA1" s="10"/>
      <c r="AB1" s="10"/>
      <c r="AC1" s="10"/>
    </row>
    <row r="2" spans="1:29">
      <c r="A2" s="10"/>
      <c r="B2" s="11"/>
      <c r="C2" s="11"/>
      <c r="D2" s="11"/>
      <c r="E2" s="11"/>
      <c r="F2" s="64"/>
      <c r="G2" s="64"/>
      <c r="H2" s="10"/>
      <c r="I2" s="10"/>
      <c r="J2" s="10"/>
      <c r="K2" s="10"/>
      <c r="L2" s="10"/>
      <c r="M2" s="10"/>
      <c r="N2" s="10"/>
      <c r="O2" s="10"/>
      <c r="P2" s="10"/>
      <c r="Q2" s="10"/>
      <c r="R2" s="10"/>
      <c r="S2" s="10"/>
      <c r="T2" s="10"/>
      <c r="U2" s="10"/>
      <c r="V2" s="10"/>
      <c r="W2" s="10"/>
      <c r="X2" s="10"/>
      <c r="Y2" s="10"/>
      <c r="Z2" s="10"/>
      <c r="AA2" s="10"/>
      <c r="AB2" s="10"/>
      <c r="AC2" s="10"/>
    </row>
    <row r="3" spans="1:29" ht="17" customHeight="1">
      <c r="A3" s="10"/>
      <c r="B3" s="11"/>
      <c r="C3" s="11"/>
      <c r="D3" s="11"/>
      <c r="E3" s="11"/>
      <c r="F3" s="64"/>
      <c r="G3" s="64"/>
      <c r="H3" s="10"/>
      <c r="I3" s="10"/>
      <c r="J3" s="10"/>
      <c r="K3" s="10"/>
      <c r="L3" s="10"/>
      <c r="M3" s="10"/>
      <c r="N3" s="10"/>
      <c r="O3" s="10"/>
      <c r="P3" s="10"/>
      <c r="Q3" s="10"/>
      <c r="R3" s="10"/>
      <c r="S3" s="10"/>
      <c r="T3" s="10"/>
      <c r="U3" s="10"/>
      <c r="V3" s="10"/>
      <c r="W3" s="10"/>
      <c r="X3" s="10"/>
      <c r="Y3" s="10"/>
      <c r="Z3" s="10"/>
      <c r="AA3" s="10"/>
      <c r="AB3" s="10"/>
      <c r="AC3" s="10"/>
    </row>
    <row r="4" spans="1:29">
      <c r="A4" s="10"/>
      <c r="B4" s="11"/>
      <c r="C4" s="11"/>
      <c r="D4" s="11"/>
      <c r="E4" s="11"/>
      <c r="F4" s="64"/>
      <c r="G4" s="64"/>
      <c r="H4" s="10"/>
      <c r="I4" s="10"/>
      <c r="J4" s="10"/>
      <c r="K4" s="10"/>
      <c r="L4" s="10"/>
      <c r="M4" s="10"/>
      <c r="N4" s="10"/>
      <c r="O4" s="10"/>
      <c r="P4" s="10"/>
      <c r="Q4" s="10"/>
      <c r="R4" s="10"/>
      <c r="S4" s="10"/>
      <c r="T4" s="10"/>
      <c r="U4" s="10"/>
      <c r="V4" s="10"/>
      <c r="W4" s="10"/>
      <c r="X4" s="10"/>
      <c r="Y4" s="10"/>
      <c r="Z4" s="10"/>
      <c r="AA4" s="10"/>
      <c r="AB4" s="10"/>
      <c r="AC4" s="10"/>
    </row>
    <row r="5" spans="1:29">
      <c r="A5" s="10"/>
      <c r="B5" s="11"/>
      <c r="C5" s="11"/>
      <c r="D5" s="11"/>
      <c r="E5" s="11"/>
      <c r="F5" s="64"/>
      <c r="G5" s="64"/>
      <c r="H5" s="10"/>
      <c r="I5" s="10"/>
      <c r="J5" s="10"/>
      <c r="K5" s="10"/>
      <c r="L5" s="10"/>
      <c r="M5" s="10"/>
      <c r="N5" s="10"/>
      <c r="O5" s="10"/>
      <c r="P5" s="10"/>
      <c r="Q5" s="10"/>
      <c r="R5" s="10"/>
      <c r="S5" s="10"/>
      <c r="T5" s="10"/>
      <c r="U5" s="10"/>
      <c r="V5" s="10"/>
      <c r="W5" s="10"/>
      <c r="X5" s="10"/>
      <c r="Y5" s="10"/>
      <c r="Z5" s="10"/>
      <c r="AA5" s="10"/>
      <c r="AB5" s="10"/>
      <c r="AC5" s="10"/>
    </row>
    <row r="6" spans="1:29" ht="28" customHeight="1">
      <c r="A6" s="10"/>
      <c r="B6" s="11"/>
      <c r="C6" s="11"/>
      <c r="D6" s="11"/>
      <c r="E6" s="155" t="s">
        <v>203</v>
      </c>
      <c r="F6" s="156"/>
      <c r="G6" s="156"/>
      <c r="H6" s="10"/>
      <c r="I6" s="10"/>
      <c r="J6" s="10"/>
      <c r="K6" s="10"/>
      <c r="L6" s="10"/>
      <c r="M6" s="10"/>
      <c r="N6" s="10"/>
      <c r="O6" s="10"/>
      <c r="P6" s="10"/>
      <c r="Q6" s="10"/>
      <c r="R6" s="10"/>
      <c r="S6" s="10"/>
      <c r="T6" s="10"/>
      <c r="U6" s="10"/>
      <c r="V6" s="10"/>
      <c r="W6" s="10"/>
      <c r="X6" s="10"/>
      <c r="Y6" s="10"/>
      <c r="Z6" s="10"/>
      <c r="AA6" s="10"/>
      <c r="AB6" s="10"/>
      <c r="AC6" s="10"/>
    </row>
    <row r="7" spans="1:29" ht="28" customHeight="1">
      <c r="A7" s="10"/>
      <c r="B7" s="154" t="s">
        <v>206</v>
      </c>
      <c r="C7" s="154"/>
      <c r="D7" s="154"/>
      <c r="E7" s="154"/>
      <c r="F7" s="154"/>
      <c r="G7" s="154"/>
      <c r="H7" s="10"/>
      <c r="I7" s="10"/>
      <c r="J7" s="10"/>
      <c r="K7" s="10"/>
      <c r="L7" s="10"/>
      <c r="M7" s="10"/>
      <c r="N7" s="10"/>
      <c r="O7" s="10"/>
      <c r="P7" s="10"/>
      <c r="Q7" s="10"/>
      <c r="R7" s="10"/>
      <c r="S7" s="10"/>
      <c r="T7" s="10"/>
      <c r="U7" s="10"/>
      <c r="V7" s="10"/>
      <c r="W7" s="10"/>
      <c r="X7" s="10"/>
      <c r="Y7" s="10"/>
      <c r="Z7" s="10"/>
      <c r="AA7" s="10"/>
      <c r="AB7" s="10"/>
      <c r="AC7" s="10"/>
    </row>
    <row r="8" spans="1:29" ht="15" customHeight="1">
      <c r="A8" s="10"/>
      <c r="B8" s="154"/>
      <c r="C8" s="154"/>
      <c r="D8" s="154"/>
      <c r="E8" s="154"/>
      <c r="F8" s="154"/>
      <c r="G8" s="154"/>
      <c r="H8" s="10"/>
      <c r="I8" s="10"/>
      <c r="J8" s="10"/>
      <c r="K8" s="10"/>
      <c r="L8" s="10"/>
      <c r="M8" s="10"/>
      <c r="N8" s="10"/>
      <c r="O8" s="10"/>
      <c r="P8" s="10"/>
      <c r="Q8" s="10"/>
      <c r="R8" s="10"/>
      <c r="S8" s="10"/>
      <c r="T8" s="10"/>
      <c r="U8" s="10"/>
      <c r="V8" s="10"/>
      <c r="W8" s="10"/>
      <c r="X8" s="10"/>
      <c r="Y8" s="10"/>
      <c r="Z8" s="10"/>
      <c r="AA8" s="10"/>
      <c r="AB8" s="10"/>
      <c r="AC8" s="10"/>
    </row>
    <row r="9" spans="1:29" ht="15" customHeight="1">
      <c r="A9" s="10"/>
      <c r="B9" s="154"/>
      <c r="C9" s="154"/>
      <c r="D9" s="154"/>
      <c r="E9" s="154"/>
      <c r="F9" s="154"/>
      <c r="G9" s="154"/>
      <c r="H9" s="10"/>
      <c r="I9" s="10"/>
      <c r="J9" s="10"/>
      <c r="K9" s="10"/>
      <c r="L9" s="10"/>
      <c r="M9" s="10"/>
      <c r="N9" s="10"/>
      <c r="O9" s="10"/>
      <c r="P9" s="10"/>
      <c r="Q9" s="10"/>
      <c r="R9" s="10"/>
      <c r="S9" s="10"/>
      <c r="T9" s="10"/>
      <c r="U9" s="10"/>
      <c r="V9" s="10"/>
      <c r="W9" s="10"/>
      <c r="X9" s="10"/>
      <c r="Y9" s="10"/>
      <c r="Z9" s="10"/>
      <c r="AA9" s="10"/>
      <c r="AB9" s="10"/>
      <c r="AC9" s="10"/>
    </row>
    <row r="10" spans="1:29" s="63" customFormat="1" ht="84" customHeight="1">
      <c r="A10" s="62"/>
      <c r="B10" s="153" t="s">
        <v>202</v>
      </c>
      <c r="C10" s="153"/>
      <c r="D10" s="153"/>
      <c r="E10" s="153"/>
      <c r="F10" s="153"/>
      <c r="G10" s="153"/>
      <c r="H10" s="10"/>
      <c r="I10" s="10"/>
      <c r="J10" s="10"/>
      <c r="K10" s="10"/>
      <c r="L10" s="10"/>
      <c r="M10" s="10"/>
      <c r="N10" s="10"/>
      <c r="O10" s="10"/>
      <c r="P10" s="10"/>
      <c r="Q10" s="10"/>
      <c r="R10" s="10"/>
      <c r="S10" s="10"/>
      <c r="T10" s="10"/>
      <c r="U10" s="10"/>
      <c r="V10" s="10"/>
      <c r="W10" s="10"/>
      <c r="X10" s="10"/>
      <c r="Y10" s="10"/>
      <c r="Z10" s="10"/>
      <c r="AA10" s="10"/>
      <c r="AB10" s="10"/>
      <c r="AC10" s="10"/>
    </row>
    <row r="11" spans="1:29">
      <c r="A11" s="10"/>
      <c r="B11" s="11"/>
      <c r="C11" s="11"/>
      <c r="D11" s="11"/>
      <c r="E11" s="11"/>
      <c r="F11" s="11"/>
      <c r="G11" s="11"/>
      <c r="H11" s="10"/>
      <c r="I11" s="10"/>
      <c r="J11" s="10"/>
      <c r="K11" s="10"/>
      <c r="L11" s="10"/>
      <c r="M11" s="10"/>
      <c r="N11" s="10"/>
      <c r="O11" s="10"/>
      <c r="P11" s="10"/>
      <c r="Q11" s="10"/>
      <c r="R11" s="10"/>
      <c r="S11" s="10"/>
      <c r="T11" s="10"/>
      <c r="U11" s="10"/>
      <c r="V11" s="10"/>
      <c r="W11" s="10"/>
      <c r="X11" s="10"/>
      <c r="Y11" s="10"/>
      <c r="Z11" s="10"/>
      <c r="AA11" s="10"/>
      <c r="AB11" s="10"/>
      <c r="AC11" s="10"/>
    </row>
    <row r="12" spans="1:29" ht="42" customHeight="1">
      <c r="A12" s="10"/>
      <c r="B12" s="157" t="s">
        <v>127</v>
      </c>
      <c r="C12" s="157"/>
      <c r="D12" s="157"/>
      <c r="E12" s="157"/>
      <c r="F12" s="157"/>
      <c r="G12" s="157"/>
      <c r="H12" s="10"/>
      <c r="I12" s="10"/>
      <c r="J12" s="10"/>
      <c r="K12" s="10"/>
      <c r="L12" s="10"/>
      <c r="M12" s="10"/>
      <c r="N12" s="10"/>
      <c r="O12" s="10"/>
      <c r="P12" s="10"/>
      <c r="Q12" s="10"/>
      <c r="R12" s="10"/>
      <c r="S12" s="10"/>
      <c r="T12" s="10"/>
      <c r="U12" s="10"/>
      <c r="V12" s="10"/>
      <c r="W12" s="10"/>
      <c r="X12" s="10"/>
      <c r="Y12" s="10"/>
      <c r="Z12" s="10"/>
      <c r="AA12" s="10"/>
      <c r="AB12" s="10"/>
      <c r="AC12" s="10"/>
    </row>
    <row r="13" spans="1:29" s="80" customFormat="1" ht="22" customHeight="1">
      <c r="A13" s="79"/>
      <c r="B13" s="150" t="s">
        <v>165</v>
      </c>
      <c r="C13" s="150"/>
      <c r="D13" s="150"/>
      <c r="E13" s="150"/>
      <c r="F13" s="150"/>
      <c r="G13" s="150"/>
      <c r="H13" s="79"/>
      <c r="I13" s="79"/>
      <c r="J13" s="79"/>
      <c r="K13" s="79"/>
      <c r="L13" s="79"/>
      <c r="M13" s="79"/>
      <c r="N13" s="79"/>
      <c r="O13" s="79"/>
      <c r="P13" s="79"/>
      <c r="Q13" s="79"/>
      <c r="R13" s="79"/>
      <c r="S13" s="79"/>
      <c r="T13" s="79"/>
      <c r="U13" s="79"/>
      <c r="V13" s="79"/>
      <c r="W13" s="79"/>
      <c r="X13" s="79"/>
      <c r="Y13" s="79"/>
      <c r="Z13" s="79"/>
      <c r="AA13" s="79"/>
      <c r="AB13" s="79"/>
      <c r="AC13" s="79"/>
    </row>
    <row r="14" spans="1:29" s="80" customFormat="1" ht="22" customHeight="1">
      <c r="A14" s="79"/>
      <c r="B14" s="151" t="s">
        <v>131</v>
      </c>
      <c r="C14" s="151"/>
      <c r="D14" s="151"/>
      <c r="E14" s="151"/>
      <c r="F14" s="151"/>
      <c r="G14" s="151"/>
      <c r="H14" s="79"/>
      <c r="I14" s="79"/>
      <c r="J14" s="79"/>
      <c r="K14" s="79"/>
      <c r="L14" s="79"/>
      <c r="M14" s="79"/>
      <c r="N14" s="79"/>
      <c r="O14" s="79"/>
      <c r="P14" s="79"/>
      <c r="Q14" s="79"/>
      <c r="R14" s="79"/>
      <c r="S14" s="79"/>
      <c r="T14" s="79"/>
      <c r="U14" s="79"/>
      <c r="V14" s="79"/>
      <c r="W14" s="79"/>
      <c r="X14" s="79"/>
      <c r="Y14" s="79"/>
      <c r="Z14" s="79"/>
      <c r="AA14" s="79"/>
      <c r="AB14" s="79"/>
      <c r="AC14" s="79"/>
    </row>
    <row r="15" spans="1:29" s="80" customFormat="1" ht="22" customHeight="1">
      <c r="A15" s="79"/>
      <c r="B15" s="150" t="s">
        <v>132</v>
      </c>
      <c r="C15" s="150"/>
      <c r="D15" s="150"/>
      <c r="E15" s="150"/>
      <c r="F15" s="150"/>
      <c r="G15" s="150"/>
      <c r="H15" s="79"/>
      <c r="I15" s="79"/>
      <c r="J15" s="79"/>
      <c r="K15" s="79"/>
      <c r="L15" s="79"/>
      <c r="M15" s="79"/>
      <c r="N15" s="79"/>
      <c r="O15" s="79"/>
      <c r="P15" s="79"/>
      <c r="Q15" s="79"/>
      <c r="R15" s="79"/>
      <c r="S15" s="79"/>
      <c r="T15" s="79"/>
      <c r="U15" s="79"/>
      <c r="V15" s="79"/>
      <c r="W15" s="79"/>
      <c r="X15" s="79"/>
      <c r="Y15" s="79"/>
      <c r="Z15" s="79"/>
      <c r="AA15" s="79"/>
      <c r="AB15" s="79"/>
      <c r="AC15" s="79"/>
    </row>
    <row r="16" spans="1:29" s="80" customFormat="1" ht="22" customHeight="1">
      <c r="A16" s="79"/>
      <c r="B16" s="150" t="s">
        <v>128</v>
      </c>
      <c r="C16" s="150"/>
      <c r="D16" s="150"/>
      <c r="E16" s="150"/>
      <c r="F16" s="150"/>
      <c r="G16" s="150"/>
      <c r="H16" s="79"/>
      <c r="I16" s="79"/>
      <c r="J16" s="79"/>
      <c r="K16" s="79"/>
      <c r="L16" s="79"/>
      <c r="M16" s="79"/>
      <c r="N16" s="79"/>
      <c r="O16" s="79"/>
      <c r="P16" s="79"/>
      <c r="Q16" s="79"/>
      <c r="R16" s="79"/>
      <c r="S16" s="79"/>
      <c r="T16" s="79"/>
      <c r="U16" s="79"/>
      <c r="V16" s="79"/>
      <c r="W16" s="79"/>
      <c r="X16" s="79"/>
      <c r="Y16" s="79"/>
      <c r="Z16" s="79"/>
      <c r="AA16" s="79"/>
      <c r="AB16" s="79"/>
      <c r="AC16" s="79"/>
    </row>
    <row r="17" spans="1:29" s="80" customFormat="1" ht="22" customHeight="1">
      <c r="A17" s="79"/>
      <c r="B17" s="150" t="s">
        <v>133</v>
      </c>
      <c r="C17" s="150"/>
      <c r="D17" s="150"/>
      <c r="E17" s="150"/>
      <c r="F17" s="150"/>
      <c r="G17" s="150"/>
      <c r="H17" s="79"/>
      <c r="I17" s="79"/>
      <c r="J17" s="79"/>
      <c r="K17" s="79"/>
      <c r="L17" s="79"/>
      <c r="M17" s="79"/>
      <c r="N17" s="79"/>
      <c r="O17" s="79"/>
      <c r="P17" s="79"/>
      <c r="Q17" s="79"/>
      <c r="R17" s="79"/>
      <c r="S17" s="79"/>
      <c r="T17" s="79"/>
      <c r="U17" s="79"/>
      <c r="V17" s="79"/>
      <c r="W17" s="79"/>
      <c r="X17" s="79"/>
      <c r="Y17" s="79"/>
      <c r="Z17" s="79"/>
      <c r="AA17" s="79"/>
      <c r="AB17" s="79"/>
      <c r="AC17" s="79"/>
    </row>
    <row r="18" spans="1:29" s="80" customFormat="1" ht="22" customHeight="1">
      <c r="A18" s="79"/>
      <c r="B18" s="150" t="s">
        <v>134</v>
      </c>
      <c r="C18" s="150"/>
      <c r="D18" s="150"/>
      <c r="E18" s="150"/>
      <c r="F18" s="150"/>
      <c r="G18" s="150"/>
      <c r="H18" s="79"/>
      <c r="I18" s="79"/>
      <c r="J18" s="79"/>
      <c r="K18" s="79"/>
      <c r="L18" s="79"/>
      <c r="M18" s="79"/>
      <c r="N18" s="79"/>
      <c r="O18" s="79"/>
      <c r="P18" s="79"/>
      <c r="Q18" s="79"/>
      <c r="R18" s="79"/>
      <c r="S18" s="79"/>
      <c r="T18" s="79"/>
      <c r="U18" s="79"/>
      <c r="V18" s="79"/>
      <c r="W18" s="79"/>
      <c r="X18" s="79"/>
      <c r="Y18" s="79"/>
      <c r="Z18" s="79"/>
      <c r="AA18" s="79"/>
      <c r="AB18" s="79"/>
      <c r="AC18" s="79"/>
    </row>
    <row r="19" spans="1:29" s="80" customFormat="1" ht="22" customHeight="1">
      <c r="A19" s="79"/>
      <c r="B19" s="151" t="s">
        <v>135</v>
      </c>
      <c r="C19" s="151"/>
      <c r="D19" s="151"/>
      <c r="E19" s="151"/>
      <c r="F19" s="151"/>
      <c r="G19" s="151"/>
      <c r="H19" s="79"/>
      <c r="I19" s="79"/>
      <c r="J19" s="79"/>
      <c r="K19" s="79"/>
      <c r="L19" s="79"/>
      <c r="M19" s="79"/>
      <c r="N19" s="79"/>
      <c r="O19" s="79"/>
      <c r="P19" s="79"/>
      <c r="Q19" s="79"/>
      <c r="R19" s="79"/>
      <c r="S19" s="79"/>
      <c r="T19" s="79"/>
      <c r="U19" s="79"/>
      <c r="V19" s="79"/>
      <c r="W19" s="79"/>
      <c r="X19" s="79"/>
      <c r="Y19" s="79"/>
      <c r="Z19" s="79"/>
      <c r="AA19" s="79"/>
      <c r="AB19" s="79"/>
      <c r="AC19" s="79"/>
    </row>
    <row r="20" spans="1:29" s="80" customFormat="1" ht="22" customHeight="1">
      <c r="A20" s="79"/>
      <c r="B20" s="150" t="s">
        <v>129</v>
      </c>
      <c r="C20" s="150"/>
      <c r="D20" s="150"/>
      <c r="E20" s="150"/>
      <c r="F20" s="150"/>
      <c r="G20" s="150"/>
      <c r="H20" s="79"/>
      <c r="I20" s="79"/>
      <c r="J20" s="79"/>
      <c r="K20" s="79"/>
      <c r="L20" s="79"/>
      <c r="M20" s="79"/>
      <c r="N20" s="79"/>
      <c r="O20" s="79"/>
      <c r="P20" s="79"/>
      <c r="Q20" s="79"/>
      <c r="R20" s="79"/>
      <c r="S20" s="79"/>
      <c r="T20" s="79"/>
      <c r="U20" s="79"/>
      <c r="V20" s="79"/>
      <c r="W20" s="79"/>
      <c r="X20" s="79"/>
      <c r="Y20" s="79"/>
      <c r="Z20" s="79"/>
      <c r="AA20" s="79"/>
      <c r="AB20" s="79"/>
      <c r="AC20" s="79"/>
    </row>
    <row r="21" spans="1:29" s="80" customFormat="1" ht="22" customHeight="1">
      <c r="A21" s="79"/>
      <c r="B21" s="150" t="s">
        <v>166</v>
      </c>
      <c r="C21" s="150"/>
      <c r="D21" s="150"/>
      <c r="E21" s="150"/>
      <c r="F21" s="150"/>
      <c r="G21" s="150"/>
      <c r="H21" s="79"/>
      <c r="I21" s="79"/>
      <c r="J21" s="79"/>
      <c r="K21" s="79"/>
      <c r="L21" s="79"/>
      <c r="M21" s="79"/>
      <c r="N21" s="79"/>
      <c r="O21" s="79"/>
      <c r="P21" s="79"/>
      <c r="Q21" s="79"/>
      <c r="R21" s="79"/>
      <c r="S21" s="79"/>
      <c r="T21" s="79"/>
      <c r="U21" s="79"/>
      <c r="V21" s="79"/>
      <c r="W21" s="79"/>
      <c r="X21" s="79"/>
      <c r="Y21" s="79"/>
      <c r="Z21" s="79"/>
      <c r="AA21" s="79"/>
      <c r="AB21" s="79"/>
      <c r="AC21" s="79"/>
    </row>
    <row r="22" spans="1:29" s="80" customFormat="1" ht="22" customHeight="1">
      <c r="A22" s="79"/>
      <c r="B22" s="150" t="s">
        <v>167</v>
      </c>
      <c r="C22" s="150"/>
      <c r="D22" s="150"/>
      <c r="E22" s="150"/>
      <c r="F22" s="150"/>
      <c r="G22" s="150"/>
      <c r="H22" s="79"/>
      <c r="I22" s="79"/>
      <c r="J22" s="79"/>
      <c r="K22" s="79"/>
      <c r="L22" s="79"/>
      <c r="M22" s="79"/>
      <c r="N22" s="79"/>
      <c r="O22" s="79"/>
      <c r="P22" s="79"/>
      <c r="Q22" s="79"/>
      <c r="R22" s="79"/>
      <c r="S22" s="79"/>
      <c r="T22" s="79"/>
      <c r="U22" s="79"/>
      <c r="V22" s="79"/>
      <c r="W22" s="79"/>
      <c r="X22" s="79"/>
      <c r="Y22" s="79"/>
      <c r="Z22" s="79"/>
      <c r="AA22" s="79"/>
      <c r="AB22" s="79"/>
      <c r="AC22" s="79"/>
    </row>
    <row r="23" spans="1:29" s="80" customFormat="1" ht="22" customHeight="1">
      <c r="A23" s="79"/>
      <c r="B23" s="150" t="s">
        <v>130</v>
      </c>
      <c r="C23" s="150"/>
      <c r="D23" s="150"/>
      <c r="E23" s="150"/>
      <c r="F23" s="150"/>
      <c r="G23" s="150"/>
      <c r="H23" s="79"/>
      <c r="I23" s="79"/>
      <c r="J23" s="79"/>
      <c r="K23" s="79"/>
      <c r="L23" s="79"/>
      <c r="M23" s="79"/>
      <c r="N23" s="79"/>
      <c r="O23" s="79"/>
      <c r="P23" s="79"/>
      <c r="Q23" s="79"/>
      <c r="R23" s="79"/>
      <c r="S23" s="79"/>
      <c r="T23" s="79"/>
      <c r="U23" s="79"/>
      <c r="V23" s="79"/>
      <c r="W23" s="79"/>
      <c r="X23" s="79"/>
      <c r="Y23" s="79"/>
      <c r="Z23" s="79"/>
      <c r="AA23" s="79"/>
      <c r="AB23" s="79"/>
      <c r="AC23" s="79"/>
    </row>
    <row r="24" spans="1:29" s="80" customFormat="1" ht="22" customHeight="1">
      <c r="A24" s="79"/>
      <c r="B24" s="152" t="s">
        <v>204</v>
      </c>
      <c r="C24" s="152"/>
      <c r="D24" s="152"/>
      <c r="E24" s="152"/>
      <c r="F24" s="152"/>
      <c r="G24" s="152"/>
      <c r="H24" s="79"/>
      <c r="I24" s="79"/>
      <c r="J24" s="79"/>
      <c r="K24" s="79"/>
      <c r="L24" s="79"/>
      <c r="M24" s="79"/>
      <c r="N24" s="79"/>
      <c r="O24" s="79"/>
      <c r="P24" s="79"/>
      <c r="Q24" s="79"/>
      <c r="R24" s="79"/>
      <c r="S24" s="79"/>
      <c r="T24" s="79"/>
      <c r="U24" s="79"/>
      <c r="V24" s="79"/>
      <c r="W24" s="79"/>
      <c r="X24" s="79"/>
      <c r="Y24" s="79"/>
      <c r="Z24" s="79"/>
      <c r="AA24" s="79"/>
      <c r="AB24" s="79"/>
      <c r="AC24" s="79"/>
    </row>
    <row r="25" spans="1:29" s="80" customFormat="1" ht="22" customHeight="1">
      <c r="A25" s="79"/>
      <c r="B25" s="150"/>
      <c r="C25" s="150"/>
      <c r="D25" s="150"/>
      <c r="E25" s="150"/>
      <c r="F25" s="150"/>
      <c r="G25" s="150"/>
      <c r="H25" s="79"/>
      <c r="I25" s="79"/>
      <c r="J25" s="79"/>
      <c r="K25" s="79"/>
      <c r="L25" s="79"/>
      <c r="M25" s="79"/>
      <c r="N25" s="79"/>
      <c r="O25" s="79"/>
      <c r="P25" s="79"/>
      <c r="Q25" s="79"/>
      <c r="R25" s="79"/>
      <c r="S25" s="79"/>
      <c r="T25" s="79"/>
      <c r="U25" s="79"/>
      <c r="V25" s="79"/>
      <c r="W25" s="79"/>
      <c r="X25" s="79"/>
      <c r="Y25" s="79"/>
      <c r="Z25" s="79"/>
      <c r="AA25" s="79"/>
      <c r="AB25" s="79"/>
      <c r="AC25" s="79"/>
    </row>
    <row r="26" spans="1:29" s="80" customFormat="1" ht="22" customHeight="1">
      <c r="A26" s="79"/>
      <c r="B26" s="149" t="s">
        <v>205</v>
      </c>
      <c r="C26" s="149"/>
      <c r="D26" s="149"/>
      <c r="E26" s="149"/>
      <c r="F26" s="149"/>
      <c r="G26" s="149"/>
      <c r="H26" s="79"/>
      <c r="I26" s="79"/>
      <c r="J26" s="79"/>
      <c r="K26" s="79"/>
      <c r="L26" s="79"/>
      <c r="M26" s="79"/>
      <c r="N26" s="79"/>
      <c r="O26" s="79"/>
      <c r="P26" s="79"/>
      <c r="Q26" s="79"/>
      <c r="R26" s="79"/>
      <c r="S26" s="79"/>
      <c r="T26" s="79"/>
      <c r="U26" s="79"/>
      <c r="V26" s="79"/>
      <c r="W26" s="79"/>
      <c r="X26" s="79"/>
      <c r="Y26" s="79"/>
      <c r="Z26" s="79"/>
      <c r="AA26" s="79"/>
      <c r="AB26" s="79"/>
      <c r="AC26" s="79"/>
    </row>
    <row r="27" spans="1:29" s="80" customFormat="1" ht="22" customHeight="1">
      <c r="A27" s="79"/>
      <c r="B27" s="149"/>
      <c r="C27" s="149"/>
      <c r="D27" s="149"/>
      <c r="E27" s="149"/>
      <c r="F27" s="149"/>
      <c r="G27" s="149"/>
      <c r="H27" s="79"/>
      <c r="I27" s="79"/>
      <c r="J27" s="79"/>
      <c r="K27" s="79"/>
      <c r="L27" s="79"/>
      <c r="M27" s="79"/>
      <c r="N27" s="79"/>
      <c r="O27" s="79"/>
      <c r="P27" s="79"/>
      <c r="Q27" s="79"/>
      <c r="R27" s="79"/>
      <c r="S27" s="79"/>
      <c r="T27" s="79"/>
      <c r="U27" s="79"/>
      <c r="V27" s="79"/>
      <c r="W27" s="79"/>
      <c r="X27" s="79"/>
      <c r="Y27" s="79"/>
      <c r="Z27" s="79"/>
      <c r="AA27" s="79"/>
      <c r="AB27" s="79"/>
      <c r="AC27" s="79"/>
    </row>
    <row r="28" spans="1:29">
      <c r="A28" s="10"/>
      <c r="B28" s="149"/>
      <c r="C28" s="149"/>
      <c r="D28" s="149"/>
      <c r="E28" s="149"/>
      <c r="F28" s="149"/>
      <c r="G28" s="149"/>
      <c r="H28" s="10"/>
      <c r="I28" s="10"/>
      <c r="J28" s="10"/>
      <c r="K28" s="10"/>
      <c r="L28" s="10"/>
      <c r="M28" s="10"/>
      <c r="N28" s="10"/>
      <c r="O28" s="10"/>
      <c r="P28" s="10"/>
      <c r="Q28" s="10"/>
      <c r="R28" s="10"/>
      <c r="S28" s="10"/>
      <c r="T28" s="10"/>
      <c r="U28" s="10"/>
      <c r="V28" s="10"/>
      <c r="W28" s="10"/>
      <c r="X28" s="10"/>
      <c r="Y28" s="10"/>
      <c r="Z28" s="10"/>
      <c r="AA28" s="10"/>
      <c r="AB28" s="10"/>
      <c r="AC28" s="10"/>
    </row>
    <row r="29" spans="1:29">
      <c r="A29" s="10"/>
      <c r="B29" s="149"/>
      <c r="C29" s="149"/>
      <c r="D29" s="149"/>
      <c r="E29" s="149"/>
      <c r="F29" s="149"/>
      <c r="G29" s="149"/>
      <c r="H29" s="10"/>
      <c r="I29" s="10"/>
      <c r="J29" s="10"/>
      <c r="K29" s="10"/>
      <c r="L29" s="10"/>
      <c r="M29" s="10"/>
      <c r="N29" s="10"/>
      <c r="O29" s="10"/>
      <c r="P29" s="10"/>
      <c r="Q29" s="10"/>
      <c r="R29" s="10"/>
      <c r="S29" s="10"/>
      <c r="T29" s="10"/>
      <c r="U29" s="10"/>
      <c r="V29" s="10"/>
      <c r="W29" s="10"/>
      <c r="X29" s="10"/>
      <c r="Y29" s="10"/>
      <c r="Z29" s="10"/>
      <c r="AA29" s="10"/>
      <c r="AB29" s="10"/>
      <c r="AC29" s="10"/>
    </row>
    <row r="30" spans="1:29">
      <c r="A30" s="10"/>
      <c r="B30" s="11"/>
      <c r="C30" s="11"/>
      <c r="D30" s="11"/>
      <c r="E30" s="11"/>
      <c r="F30" s="11"/>
      <c r="G30" s="11"/>
      <c r="H30" s="10"/>
      <c r="I30" s="10"/>
      <c r="J30" s="10"/>
      <c r="K30" s="10"/>
      <c r="L30" s="10"/>
      <c r="M30" s="10"/>
      <c r="N30" s="10"/>
      <c r="O30" s="10"/>
      <c r="P30" s="10"/>
      <c r="Q30" s="10"/>
      <c r="R30" s="10"/>
      <c r="S30" s="10"/>
      <c r="T30" s="10"/>
      <c r="U30" s="10"/>
      <c r="V30" s="10"/>
      <c r="W30" s="10"/>
      <c r="X30" s="10"/>
      <c r="Y30" s="10"/>
      <c r="Z30" s="10"/>
      <c r="AA30" s="10"/>
      <c r="AB30" s="10"/>
      <c r="AC30" s="10"/>
    </row>
    <row r="31" spans="1:29">
      <c r="A31" s="10"/>
      <c r="B31" s="11"/>
      <c r="C31" s="11"/>
      <c r="D31" s="11"/>
      <c r="E31" s="11"/>
      <c r="F31" s="11"/>
      <c r="G31" s="11"/>
      <c r="H31" s="10"/>
      <c r="I31" s="10"/>
      <c r="J31" s="10"/>
      <c r="K31" s="10"/>
      <c r="L31" s="10"/>
      <c r="M31" s="10"/>
      <c r="N31" s="10"/>
      <c r="O31" s="10"/>
      <c r="P31" s="10"/>
      <c r="Q31" s="10"/>
      <c r="R31" s="10"/>
      <c r="S31" s="10"/>
      <c r="T31" s="10"/>
      <c r="U31" s="10"/>
      <c r="V31" s="10"/>
      <c r="W31" s="10"/>
      <c r="X31" s="10"/>
      <c r="Y31" s="10"/>
      <c r="Z31" s="10"/>
      <c r="AA31" s="10"/>
      <c r="AB31" s="10"/>
      <c r="AC31" s="10"/>
    </row>
    <row r="32" spans="1:29">
      <c r="A32" s="10"/>
      <c r="B32" s="11"/>
      <c r="C32" s="11"/>
      <c r="D32" s="11"/>
      <c r="E32" s="11"/>
      <c r="F32" s="11"/>
      <c r="G32" s="11"/>
      <c r="H32" s="10"/>
      <c r="I32" s="10"/>
      <c r="J32" s="10"/>
      <c r="K32" s="10"/>
      <c r="L32" s="10"/>
      <c r="M32" s="10"/>
      <c r="N32" s="10"/>
      <c r="O32" s="10"/>
      <c r="P32" s="10"/>
      <c r="Q32" s="10"/>
      <c r="R32" s="10"/>
      <c r="S32" s="10"/>
      <c r="T32" s="10"/>
      <c r="U32" s="10"/>
      <c r="V32" s="10"/>
      <c r="W32" s="10"/>
      <c r="X32" s="10"/>
      <c r="Y32" s="10"/>
      <c r="Z32" s="10"/>
      <c r="AA32" s="10"/>
      <c r="AB32" s="10"/>
      <c r="AC32" s="10"/>
    </row>
    <row r="33" spans="1:29">
      <c r="A33" s="10"/>
      <c r="B33" s="11"/>
      <c r="C33" s="11"/>
      <c r="D33" s="11"/>
      <c r="E33" s="11"/>
      <c r="F33" s="11"/>
      <c r="G33" s="11"/>
      <c r="H33" s="10"/>
      <c r="I33" s="10"/>
      <c r="J33" s="10"/>
      <c r="K33" s="10"/>
      <c r="L33" s="10"/>
      <c r="M33" s="10"/>
      <c r="N33" s="10"/>
      <c r="O33" s="10"/>
      <c r="P33" s="10"/>
      <c r="Q33" s="10"/>
      <c r="R33" s="10"/>
      <c r="S33" s="10"/>
      <c r="T33" s="10"/>
      <c r="U33" s="10"/>
      <c r="V33" s="10"/>
      <c r="W33" s="10"/>
      <c r="X33" s="10"/>
      <c r="Y33" s="10"/>
      <c r="Z33" s="10"/>
      <c r="AA33" s="10"/>
      <c r="AB33" s="10"/>
      <c r="AC33" s="10"/>
    </row>
    <row r="34" spans="1:29">
      <c r="A34" s="10"/>
      <c r="B34" s="11"/>
      <c r="C34" s="11"/>
      <c r="D34" s="11"/>
      <c r="E34" s="11"/>
      <c r="F34" s="11"/>
      <c r="G34" s="11"/>
      <c r="H34" s="10"/>
      <c r="I34" s="10"/>
      <c r="J34" s="10"/>
      <c r="K34" s="10"/>
      <c r="L34" s="10"/>
      <c r="M34" s="10"/>
      <c r="N34" s="10"/>
      <c r="O34" s="10"/>
      <c r="P34" s="10"/>
      <c r="Q34" s="10"/>
      <c r="R34" s="10"/>
      <c r="S34" s="10"/>
      <c r="T34" s="10"/>
      <c r="U34" s="10"/>
      <c r="V34" s="10"/>
      <c r="W34" s="10"/>
      <c r="X34" s="10"/>
      <c r="Y34" s="10"/>
      <c r="Z34" s="10"/>
      <c r="AA34" s="10"/>
      <c r="AB34" s="10"/>
      <c r="AC34" s="10"/>
    </row>
    <row r="35" spans="1:29">
      <c r="A35" s="10"/>
      <c r="B35" s="11"/>
      <c r="C35" s="11"/>
      <c r="D35" s="11"/>
      <c r="E35" s="11"/>
      <c r="F35" s="11"/>
      <c r="G35" s="11"/>
      <c r="H35" s="10"/>
      <c r="I35" s="10"/>
      <c r="J35" s="10"/>
      <c r="K35" s="10"/>
      <c r="L35" s="10"/>
      <c r="M35" s="10"/>
      <c r="N35" s="10"/>
      <c r="O35" s="10"/>
      <c r="P35" s="10"/>
      <c r="Q35" s="10"/>
      <c r="R35" s="10"/>
      <c r="S35" s="10"/>
      <c r="T35" s="10"/>
      <c r="U35" s="10"/>
      <c r="V35" s="10"/>
      <c r="W35" s="10"/>
      <c r="X35" s="10"/>
      <c r="Y35" s="10"/>
      <c r="Z35" s="10"/>
      <c r="AA35" s="10"/>
      <c r="AB35" s="10"/>
      <c r="AC35" s="10"/>
    </row>
    <row r="36" spans="1:29">
      <c r="A36" s="10"/>
      <c r="B36" s="11"/>
      <c r="C36" s="11"/>
      <c r="D36" s="11"/>
      <c r="E36" s="11"/>
      <c r="F36" s="11"/>
      <c r="G36" s="11"/>
      <c r="H36" s="10"/>
      <c r="I36" s="10"/>
      <c r="J36" s="10"/>
      <c r="K36" s="10"/>
      <c r="L36" s="10"/>
      <c r="M36" s="10"/>
      <c r="N36" s="10"/>
      <c r="O36" s="10"/>
      <c r="P36" s="10"/>
      <c r="Q36" s="10"/>
      <c r="R36" s="10"/>
      <c r="S36" s="10"/>
      <c r="T36" s="10"/>
      <c r="U36" s="10"/>
      <c r="V36" s="10"/>
      <c r="W36" s="10"/>
      <c r="X36" s="10"/>
      <c r="Y36" s="10"/>
      <c r="Z36" s="10"/>
      <c r="AA36" s="10"/>
      <c r="AB36" s="10"/>
      <c r="AC36" s="10"/>
    </row>
    <row r="37" spans="1:29">
      <c r="A37" s="10"/>
      <c r="B37" s="11"/>
      <c r="C37" s="11"/>
      <c r="D37" s="11"/>
      <c r="E37" s="11"/>
      <c r="F37" s="11"/>
      <c r="G37" s="11"/>
      <c r="H37" s="10"/>
      <c r="I37" s="10"/>
      <c r="J37" s="10"/>
      <c r="K37" s="10"/>
      <c r="L37" s="10"/>
      <c r="M37" s="10"/>
      <c r="N37" s="10"/>
      <c r="O37" s="10"/>
      <c r="P37" s="10"/>
      <c r="Q37" s="10"/>
      <c r="R37" s="10"/>
      <c r="S37" s="10"/>
      <c r="T37" s="10"/>
      <c r="U37" s="10"/>
      <c r="V37" s="10"/>
      <c r="W37" s="10"/>
      <c r="X37" s="10"/>
      <c r="Y37" s="10"/>
      <c r="Z37" s="10"/>
      <c r="AA37" s="10"/>
      <c r="AB37" s="10"/>
      <c r="AC37" s="10"/>
    </row>
    <row r="38" spans="1:29">
      <c r="A38" s="10"/>
      <c r="B38" s="11"/>
      <c r="C38" s="11"/>
      <c r="D38" s="11"/>
      <c r="E38" s="11"/>
      <c r="F38" s="11"/>
      <c r="G38" s="11"/>
      <c r="H38" s="10"/>
      <c r="I38" s="10"/>
      <c r="J38" s="10"/>
      <c r="K38" s="10"/>
      <c r="L38" s="10"/>
      <c r="M38" s="10"/>
      <c r="N38" s="10"/>
      <c r="O38" s="10"/>
      <c r="P38" s="10"/>
      <c r="Q38" s="10"/>
      <c r="R38" s="10"/>
      <c r="S38" s="10"/>
      <c r="T38" s="10"/>
      <c r="U38" s="10"/>
      <c r="V38" s="10"/>
      <c r="W38" s="10"/>
      <c r="X38" s="10"/>
      <c r="Y38" s="10"/>
      <c r="Z38" s="10"/>
      <c r="AA38" s="10"/>
      <c r="AB38" s="10"/>
      <c r="AC38" s="10"/>
    </row>
    <row r="39" spans="1:29">
      <c r="A39" s="10"/>
      <c r="B39" s="11"/>
      <c r="C39" s="11"/>
      <c r="D39" s="11"/>
      <c r="E39" s="11"/>
      <c r="F39" s="11"/>
      <c r="G39" s="11"/>
      <c r="H39" s="10"/>
      <c r="I39" s="10"/>
      <c r="J39" s="10"/>
      <c r="K39" s="10"/>
      <c r="L39" s="10"/>
      <c r="M39" s="10"/>
      <c r="N39" s="10"/>
      <c r="O39" s="10"/>
      <c r="P39" s="10"/>
      <c r="Q39" s="10"/>
      <c r="R39" s="10"/>
      <c r="S39" s="10"/>
      <c r="T39" s="10"/>
      <c r="U39" s="10"/>
      <c r="V39" s="10"/>
      <c r="W39" s="10"/>
      <c r="X39" s="10"/>
      <c r="Y39" s="10"/>
      <c r="Z39" s="10"/>
      <c r="AA39" s="10"/>
      <c r="AB39" s="10"/>
      <c r="AC39" s="10"/>
    </row>
    <row r="40" spans="1:29">
      <c r="A40" s="10"/>
      <c r="B40" s="11"/>
      <c r="C40" s="11"/>
      <c r="D40" s="11"/>
      <c r="E40" s="11"/>
      <c r="F40" s="11"/>
      <c r="G40" s="11"/>
      <c r="H40" s="10"/>
      <c r="I40" s="10"/>
      <c r="J40" s="10"/>
      <c r="K40" s="10"/>
      <c r="L40" s="10"/>
      <c r="M40" s="10"/>
      <c r="N40" s="10"/>
      <c r="O40" s="10"/>
      <c r="P40" s="10"/>
      <c r="Q40" s="10"/>
      <c r="R40" s="10"/>
      <c r="S40" s="10"/>
      <c r="T40" s="10"/>
      <c r="U40" s="10"/>
      <c r="V40" s="10"/>
      <c r="W40" s="10"/>
      <c r="X40" s="10"/>
      <c r="Y40" s="10"/>
      <c r="Z40" s="10"/>
      <c r="AA40" s="10"/>
      <c r="AB40" s="10"/>
      <c r="AC40" s="10"/>
    </row>
    <row r="41" spans="1:29">
      <c r="A41" s="10"/>
      <c r="B41" s="11"/>
      <c r="C41" s="11"/>
      <c r="D41" s="11"/>
      <c r="E41" s="11"/>
      <c r="F41" s="11"/>
      <c r="G41" s="11"/>
      <c r="H41" s="10"/>
      <c r="I41" s="10"/>
      <c r="J41" s="10"/>
      <c r="K41" s="10"/>
      <c r="L41" s="10"/>
      <c r="M41" s="10"/>
      <c r="N41" s="10"/>
      <c r="O41" s="10"/>
      <c r="P41" s="10"/>
      <c r="Q41" s="10"/>
      <c r="R41" s="10"/>
      <c r="S41" s="10"/>
      <c r="T41" s="10"/>
      <c r="U41" s="10"/>
      <c r="V41" s="10"/>
      <c r="W41" s="10"/>
      <c r="X41" s="10"/>
      <c r="Y41" s="10"/>
      <c r="Z41" s="10"/>
      <c r="AA41" s="10"/>
      <c r="AB41" s="10"/>
      <c r="AC41" s="10"/>
    </row>
    <row r="42" spans="1:29">
      <c r="A42" s="10"/>
      <c r="B42" s="11"/>
      <c r="C42" s="11"/>
      <c r="D42" s="11"/>
      <c r="E42" s="11"/>
      <c r="F42" s="11"/>
      <c r="G42" s="11"/>
      <c r="H42" s="10"/>
      <c r="I42" s="10"/>
      <c r="J42" s="10"/>
      <c r="K42" s="10"/>
      <c r="L42" s="10"/>
      <c r="M42" s="10"/>
      <c r="N42" s="10"/>
      <c r="O42" s="10"/>
      <c r="P42" s="10"/>
      <c r="Q42" s="10"/>
      <c r="R42" s="10"/>
      <c r="S42" s="10"/>
      <c r="T42" s="10"/>
      <c r="U42" s="10"/>
      <c r="V42" s="10"/>
      <c r="W42" s="10"/>
      <c r="X42" s="10"/>
      <c r="Y42" s="10"/>
      <c r="Z42" s="10"/>
      <c r="AA42" s="10"/>
      <c r="AB42" s="10"/>
      <c r="AC42" s="10"/>
    </row>
    <row r="43" spans="1:29">
      <c r="A43" s="10"/>
      <c r="B43" s="11"/>
      <c r="C43" s="11"/>
      <c r="D43" s="11"/>
      <c r="E43" s="11"/>
      <c r="F43" s="11"/>
      <c r="G43" s="11"/>
      <c r="H43" s="10"/>
      <c r="I43" s="10"/>
      <c r="J43" s="10"/>
      <c r="K43" s="10"/>
      <c r="L43" s="10"/>
      <c r="M43" s="10"/>
      <c r="N43" s="10"/>
      <c r="O43" s="10"/>
      <c r="P43" s="10"/>
      <c r="Q43" s="10"/>
      <c r="R43" s="10"/>
      <c r="S43" s="10"/>
      <c r="T43" s="10"/>
      <c r="U43" s="10"/>
      <c r="V43" s="10"/>
      <c r="W43" s="10"/>
      <c r="X43" s="10"/>
      <c r="Y43" s="10"/>
      <c r="Z43" s="10"/>
      <c r="AA43" s="10"/>
      <c r="AB43" s="10"/>
      <c r="AC43" s="10"/>
    </row>
    <row r="44" spans="1:29">
      <c r="A44" s="10"/>
      <c r="B44" s="11"/>
      <c r="C44" s="11"/>
      <c r="D44" s="11"/>
      <c r="E44" s="11"/>
      <c r="F44" s="11"/>
      <c r="G44" s="11"/>
      <c r="H44" s="10"/>
      <c r="I44" s="10"/>
      <c r="J44" s="10"/>
      <c r="K44" s="10"/>
      <c r="L44" s="10"/>
      <c r="M44" s="10"/>
      <c r="N44" s="10"/>
      <c r="O44" s="10"/>
      <c r="P44" s="10"/>
      <c r="Q44" s="10"/>
      <c r="R44" s="10"/>
      <c r="S44" s="10"/>
      <c r="T44" s="10"/>
      <c r="U44" s="10"/>
      <c r="V44" s="10"/>
      <c r="W44" s="10"/>
      <c r="X44" s="10"/>
      <c r="Y44" s="10"/>
      <c r="Z44" s="10"/>
      <c r="AA44" s="10"/>
      <c r="AB44" s="10"/>
      <c r="AC44" s="10"/>
    </row>
    <row r="45" spans="1:29">
      <c r="A45" s="10"/>
      <c r="B45" s="11"/>
      <c r="C45" s="11"/>
      <c r="D45" s="11"/>
      <c r="E45" s="11"/>
      <c r="F45" s="11"/>
      <c r="G45" s="11"/>
      <c r="H45" s="10"/>
      <c r="I45" s="10"/>
      <c r="J45" s="10"/>
      <c r="K45" s="10"/>
      <c r="L45" s="10"/>
      <c r="M45" s="10"/>
      <c r="N45" s="10"/>
      <c r="O45" s="10"/>
      <c r="P45" s="10"/>
      <c r="Q45" s="10"/>
      <c r="R45" s="10"/>
      <c r="S45" s="10"/>
      <c r="T45" s="10"/>
      <c r="U45" s="10"/>
      <c r="V45" s="10"/>
      <c r="W45" s="10"/>
      <c r="X45" s="10"/>
      <c r="Y45" s="10"/>
      <c r="Z45" s="10"/>
      <c r="AA45" s="10"/>
      <c r="AB45" s="10"/>
      <c r="AC45" s="10"/>
    </row>
    <row r="46" spans="1:29">
      <c r="A46" s="10"/>
      <c r="B46" s="11"/>
      <c r="C46" s="11"/>
      <c r="D46" s="11"/>
      <c r="E46" s="11"/>
      <c r="F46" s="11"/>
      <c r="G46" s="11"/>
      <c r="H46" s="10"/>
      <c r="I46" s="10"/>
      <c r="J46" s="10"/>
      <c r="K46" s="10"/>
      <c r="L46" s="10"/>
      <c r="M46" s="10"/>
      <c r="N46" s="10"/>
      <c r="O46" s="10"/>
      <c r="P46" s="10"/>
      <c r="Q46" s="10"/>
      <c r="R46" s="10"/>
      <c r="S46" s="10"/>
      <c r="T46" s="10"/>
      <c r="U46" s="10"/>
      <c r="V46" s="10"/>
      <c r="W46" s="10"/>
      <c r="X46" s="10"/>
      <c r="Y46" s="10"/>
      <c r="Z46" s="10"/>
      <c r="AA46" s="10"/>
      <c r="AB46" s="10"/>
      <c r="AC46" s="10"/>
    </row>
    <row r="47" spans="1:29">
      <c r="A47" s="10"/>
      <c r="B47" s="11"/>
      <c r="C47" s="11"/>
      <c r="D47" s="11"/>
      <c r="E47" s="11"/>
      <c r="F47" s="11"/>
      <c r="G47" s="11"/>
      <c r="H47" s="10"/>
      <c r="I47" s="10"/>
      <c r="J47" s="10"/>
      <c r="K47" s="10"/>
      <c r="L47" s="10"/>
      <c r="M47" s="10"/>
      <c r="N47" s="10"/>
      <c r="O47" s="10"/>
      <c r="P47" s="10"/>
      <c r="Q47" s="10"/>
      <c r="R47" s="10"/>
      <c r="S47" s="10"/>
      <c r="T47" s="10"/>
      <c r="U47" s="10"/>
      <c r="V47" s="10"/>
      <c r="W47" s="10"/>
      <c r="X47" s="10"/>
      <c r="Y47" s="10"/>
      <c r="Z47" s="10"/>
      <c r="AA47" s="10"/>
      <c r="AB47" s="10"/>
      <c r="AC47" s="10"/>
    </row>
    <row r="48" spans="1:29">
      <c r="A48" s="10"/>
      <c r="B48" s="11"/>
      <c r="C48" s="11"/>
      <c r="D48" s="11"/>
      <c r="E48" s="11"/>
      <c r="F48" s="11"/>
      <c r="G48" s="11"/>
      <c r="H48" s="10"/>
      <c r="I48" s="10"/>
      <c r="J48" s="10"/>
      <c r="K48" s="10"/>
      <c r="L48" s="10"/>
      <c r="M48" s="10"/>
      <c r="N48" s="10"/>
      <c r="O48" s="10"/>
      <c r="P48" s="10"/>
      <c r="Q48" s="10"/>
      <c r="R48" s="10"/>
      <c r="S48" s="10"/>
      <c r="T48" s="10"/>
      <c r="U48" s="10"/>
      <c r="V48" s="10"/>
      <c r="W48" s="10"/>
      <c r="X48" s="10"/>
      <c r="Y48" s="10"/>
      <c r="Z48" s="10"/>
      <c r="AA48" s="10"/>
      <c r="AB48" s="10"/>
      <c r="AC48" s="10"/>
    </row>
    <row r="49" spans="1:29">
      <c r="A49" s="10"/>
      <c r="B49" s="11"/>
      <c r="C49" s="11"/>
      <c r="D49" s="11"/>
      <c r="E49" s="11"/>
      <c r="F49" s="11"/>
      <c r="G49" s="11"/>
      <c r="H49" s="10"/>
      <c r="I49" s="10"/>
      <c r="J49" s="10"/>
      <c r="K49" s="10"/>
      <c r="L49" s="10"/>
      <c r="M49" s="10"/>
      <c r="N49" s="10"/>
      <c r="O49" s="10"/>
      <c r="P49" s="10"/>
      <c r="Q49" s="10"/>
      <c r="R49" s="10"/>
      <c r="S49" s="10"/>
      <c r="T49" s="10"/>
      <c r="U49" s="10"/>
      <c r="V49" s="10"/>
      <c r="W49" s="10"/>
      <c r="X49" s="10"/>
      <c r="Y49" s="10"/>
      <c r="Z49" s="10"/>
      <c r="AA49" s="10"/>
      <c r="AB49" s="10"/>
      <c r="AC49" s="10"/>
    </row>
    <row r="50" spans="1:29">
      <c r="A50" s="10"/>
      <c r="B50" s="11"/>
      <c r="C50" s="11"/>
      <c r="D50" s="11"/>
      <c r="E50" s="11"/>
      <c r="F50" s="11"/>
      <c r="G50" s="11"/>
      <c r="H50" s="10"/>
      <c r="I50" s="10"/>
      <c r="J50" s="10"/>
      <c r="K50" s="10"/>
      <c r="L50" s="10"/>
      <c r="M50" s="10"/>
      <c r="N50" s="10"/>
      <c r="O50" s="10"/>
      <c r="P50" s="10"/>
      <c r="Q50" s="10"/>
      <c r="R50" s="10"/>
      <c r="S50" s="10"/>
      <c r="T50" s="10"/>
      <c r="U50" s="10"/>
      <c r="V50" s="10"/>
      <c r="W50" s="10"/>
      <c r="X50" s="10"/>
      <c r="Y50" s="10"/>
      <c r="Z50" s="10"/>
      <c r="AA50" s="10"/>
      <c r="AB50" s="10"/>
      <c r="AC50" s="10"/>
    </row>
    <row r="51" spans="1:29">
      <c r="A51" s="10"/>
      <c r="B51" s="11"/>
      <c r="C51" s="11"/>
      <c r="D51" s="11"/>
      <c r="E51" s="11"/>
      <c r="F51" s="11"/>
      <c r="G51" s="11"/>
      <c r="H51" s="10"/>
      <c r="I51" s="10"/>
      <c r="J51" s="10"/>
      <c r="K51" s="10"/>
      <c r="L51" s="10"/>
      <c r="M51" s="10"/>
      <c r="N51" s="10"/>
      <c r="O51" s="10"/>
      <c r="P51" s="10"/>
      <c r="Q51" s="10"/>
      <c r="R51" s="10"/>
      <c r="S51" s="10"/>
      <c r="T51" s="10"/>
      <c r="U51" s="10"/>
      <c r="V51" s="10"/>
      <c r="W51" s="10"/>
      <c r="X51" s="10"/>
      <c r="Y51" s="10"/>
      <c r="Z51" s="10"/>
      <c r="AA51" s="10"/>
      <c r="AB51" s="10"/>
      <c r="AC51" s="10"/>
    </row>
    <row r="52" spans="1:29">
      <c r="A52" s="10"/>
      <c r="B52" s="11"/>
      <c r="C52" s="11"/>
      <c r="D52" s="11"/>
      <c r="E52" s="11"/>
      <c r="F52" s="11"/>
      <c r="G52" s="11"/>
      <c r="H52" s="10"/>
      <c r="I52" s="10"/>
      <c r="J52" s="10"/>
      <c r="K52" s="10"/>
      <c r="L52" s="10"/>
      <c r="M52" s="10"/>
      <c r="N52" s="10"/>
      <c r="O52" s="10"/>
      <c r="P52" s="10"/>
      <c r="Q52" s="10"/>
      <c r="R52" s="10"/>
      <c r="S52" s="10"/>
      <c r="T52" s="10"/>
      <c r="U52" s="10"/>
      <c r="V52" s="10"/>
      <c r="W52" s="10"/>
      <c r="X52" s="10"/>
      <c r="Y52" s="10"/>
      <c r="Z52" s="10"/>
      <c r="AA52" s="10"/>
      <c r="AB52" s="10"/>
      <c r="AC52" s="10"/>
    </row>
    <row r="53" spans="1:29">
      <c r="A53" s="10"/>
      <c r="B53" s="11"/>
      <c r="C53" s="11"/>
      <c r="D53" s="11"/>
      <c r="E53" s="11"/>
      <c r="F53" s="11"/>
      <c r="G53" s="11"/>
      <c r="H53" s="10"/>
      <c r="I53" s="10"/>
      <c r="J53" s="10"/>
      <c r="K53" s="10"/>
      <c r="L53" s="10"/>
      <c r="M53" s="10"/>
      <c r="N53" s="10"/>
      <c r="O53" s="10"/>
      <c r="P53" s="10"/>
      <c r="Q53" s="10"/>
      <c r="R53" s="10"/>
      <c r="S53" s="10"/>
      <c r="T53" s="10"/>
      <c r="U53" s="10"/>
      <c r="V53" s="10"/>
      <c r="W53" s="10"/>
      <c r="X53" s="10"/>
      <c r="Y53" s="10"/>
      <c r="Z53" s="10"/>
      <c r="AA53" s="10"/>
      <c r="AB53" s="10"/>
      <c r="AC53" s="10"/>
    </row>
    <row r="54" spans="1:29">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row>
    <row r="55" spans="1:29">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row>
    <row r="56" spans="1:29">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row>
    <row r="57" spans="1:29">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row>
    <row r="58" spans="1:29">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row>
    <row r="59" spans="1:29">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row>
    <row r="60" spans="1:29">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row>
    <row r="61" spans="1:29">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row>
    <row r="62" spans="1:29">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row>
    <row r="63" spans="1:29">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row>
    <row r="64" spans="1:29">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row>
    <row r="65" spans="1:29">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row>
    <row r="66" spans="1:29">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row>
    <row r="67" spans="1:29">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row>
    <row r="68" spans="1:29">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row>
    <row r="69" spans="1:29">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row>
    <row r="70" spans="1:29">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row>
    <row r="71" spans="1:29">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row>
    <row r="72" spans="1:29">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row>
    <row r="73" spans="1:29">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row>
    <row r="74" spans="1:29">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row>
    <row r="75" spans="1:29">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row>
    <row r="76" spans="1:29">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row>
    <row r="77" spans="1:29">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row>
    <row r="78" spans="1:29">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row>
    <row r="79" spans="1:29">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row>
  </sheetData>
  <mergeCells count="18">
    <mergeCell ref="B10:G10"/>
    <mergeCell ref="B7:G9"/>
    <mergeCell ref="E6:G6"/>
    <mergeCell ref="B12:G12"/>
    <mergeCell ref="B14:G14"/>
    <mergeCell ref="B13:G13"/>
    <mergeCell ref="B26:G29"/>
    <mergeCell ref="B15:G15"/>
    <mergeCell ref="B16:G16"/>
    <mergeCell ref="B20:G20"/>
    <mergeCell ref="B21:G21"/>
    <mergeCell ref="B25:G25"/>
    <mergeCell ref="B18:G18"/>
    <mergeCell ref="B17:G17"/>
    <mergeCell ref="B19:G19"/>
    <mergeCell ref="B22:G22"/>
    <mergeCell ref="B23:G23"/>
    <mergeCell ref="B24:G24"/>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1"/>
  <sheetViews>
    <sheetView showGridLines="0" workbookViewId="0">
      <selection activeCell="C4" sqref="C4"/>
    </sheetView>
  </sheetViews>
  <sheetFormatPr baseColWidth="10" defaultRowHeight="14" x14ac:dyDescent="0"/>
  <cols>
    <col min="1" max="1" width="4.33203125" customWidth="1"/>
    <col min="2" max="2" width="20.1640625" customWidth="1"/>
    <col min="3" max="3" width="26" bestFit="1" customWidth="1"/>
    <col min="4" max="4" width="13.6640625" customWidth="1"/>
    <col min="5" max="5" width="17.1640625" customWidth="1"/>
    <col min="6" max="6" width="16.5" customWidth="1"/>
    <col min="7" max="7" width="13" bestFit="1" customWidth="1"/>
    <col min="9" max="9" width="4.33203125" customWidth="1"/>
    <col min="11" max="11" width="13.5" bestFit="1" customWidth="1"/>
  </cols>
  <sheetData>
    <row r="2" spans="2:7" ht="20">
      <c r="B2" s="191" t="s">
        <v>183</v>
      </c>
      <c r="C2" s="191"/>
      <c r="D2" s="191"/>
      <c r="E2" s="191"/>
      <c r="F2" s="191"/>
      <c r="G2" s="191"/>
    </row>
    <row r="4" spans="2:7">
      <c r="B4" s="34" t="s">
        <v>78</v>
      </c>
      <c r="C4" s="47">
        <f>'CO2-Rechner'!E3</f>
        <v>100000</v>
      </c>
    </row>
    <row r="5" spans="2:7">
      <c r="B5" s="43"/>
      <c r="C5" s="44"/>
    </row>
    <row r="6" spans="2:7" ht="42">
      <c r="B6" s="46" t="s">
        <v>82</v>
      </c>
      <c r="C6" s="47">
        <f>Wegelängen!I15</f>
        <v>3.5</v>
      </c>
    </row>
    <row r="7" spans="2:7">
      <c r="B7" s="21"/>
    </row>
    <row r="8" spans="2:7" ht="28">
      <c r="B8" s="35"/>
      <c r="C8" s="29" t="s">
        <v>9</v>
      </c>
      <c r="D8" s="29" t="s">
        <v>10</v>
      </c>
      <c r="E8" s="29" t="s">
        <v>11</v>
      </c>
      <c r="F8" s="29" t="s">
        <v>12</v>
      </c>
      <c r="G8" s="30" t="s">
        <v>13</v>
      </c>
    </row>
    <row r="9" spans="2:7">
      <c r="B9" s="39" t="s">
        <v>79</v>
      </c>
      <c r="C9" s="49">
        <f>(IF('CO2-Rechner'!$H$8=100,'CO2-Rechner'!C8,'Modal Split'!B13))/100</f>
        <v>0.28000000000000003</v>
      </c>
      <c r="D9" s="49">
        <f>(IF('CO2-Rechner'!$H$8=100,'CO2-Rechner'!D8,'Modal Split'!C13))/100</f>
        <v>0.13</v>
      </c>
      <c r="E9" s="49">
        <f>(IF('CO2-Rechner'!$H$8=100,'CO2-Rechner'!E8,'Modal Split'!D13))/100</f>
        <v>0.27</v>
      </c>
      <c r="F9" s="49">
        <f>(IF('CO2-Rechner'!$H$8=100,'CO2-Rechner'!F8,'Modal Split'!E13))/100</f>
        <v>0.24</v>
      </c>
      <c r="G9" s="54">
        <f>(IF('CO2-Rechner'!$H$8=100,'CO2-Rechner'!G8,'Modal Split'!F13))/100</f>
        <v>0.08</v>
      </c>
    </row>
    <row r="10" spans="2:7">
      <c r="B10" s="45"/>
      <c r="C10" s="55"/>
      <c r="D10" s="55"/>
      <c r="E10" s="55"/>
      <c r="F10" s="55"/>
      <c r="G10" s="55"/>
    </row>
    <row r="11" spans="2:7" ht="42.75" customHeight="1">
      <c r="B11" s="45" t="s">
        <v>88</v>
      </c>
      <c r="C11" s="193" t="s">
        <v>99</v>
      </c>
      <c r="D11" s="193"/>
      <c r="E11" s="193"/>
      <c r="F11" s="193"/>
      <c r="G11" s="193"/>
    </row>
    <row r="12" spans="2:7">
      <c r="B12" s="21"/>
    </row>
    <row r="13" spans="2:7" ht="28">
      <c r="B13" s="36"/>
      <c r="C13" s="32" t="s">
        <v>65</v>
      </c>
      <c r="D13" s="32" t="s">
        <v>66</v>
      </c>
      <c r="E13" s="32" t="s">
        <v>19</v>
      </c>
      <c r="F13" s="32" t="s">
        <v>20</v>
      </c>
      <c r="G13" s="33" t="s">
        <v>21</v>
      </c>
    </row>
    <row r="14" spans="2:7" ht="28">
      <c r="B14" s="37" t="s">
        <v>80</v>
      </c>
      <c r="C14" s="38">
        <f>Wegelängen!D15</f>
        <v>1.3217496962332929</v>
      </c>
      <c r="D14" s="38">
        <f>Wegelängen!E15</f>
        <v>3.0211421628189554</v>
      </c>
      <c r="E14" s="38">
        <f>Wegelängen!F15</f>
        <v>20.10947752126367</v>
      </c>
      <c r="F14" s="38">
        <f>Wegelängen!G15</f>
        <v>17.2771567436209</v>
      </c>
      <c r="G14" s="40">
        <f>Wegelängen!H15</f>
        <v>13.878371810449575</v>
      </c>
    </row>
    <row r="15" spans="2:7">
      <c r="B15" s="45"/>
      <c r="C15" s="55"/>
      <c r="D15" s="55"/>
      <c r="E15" s="55"/>
      <c r="F15" s="55"/>
      <c r="G15" s="55"/>
    </row>
    <row r="16" spans="2:7" ht="78" customHeight="1">
      <c r="B16" s="45" t="s">
        <v>89</v>
      </c>
      <c r="C16" s="193" t="s">
        <v>90</v>
      </c>
      <c r="D16" s="193"/>
      <c r="E16" s="193"/>
      <c r="F16" s="193"/>
      <c r="G16" s="193"/>
    </row>
    <row r="18" spans="2:8" ht="28">
      <c r="B18" s="36"/>
      <c r="C18" s="32" t="s">
        <v>65</v>
      </c>
      <c r="D18" s="32" t="s">
        <v>66</v>
      </c>
      <c r="E18" s="32" t="s">
        <v>19</v>
      </c>
      <c r="F18" s="32" t="s">
        <v>20</v>
      </c>
      <c r="G18" s="33" t="s">
        <v>21</v>
      </c>
    </row>
    <row r="19" spans="2:8" ht="16">
      <c r="B19" s="37" t="s">
        <v>81</v>
      </c>
      <c r="C19" s="41">
        <f>'CO2'!B2</f>
        <v>0</v>
      </c>
      <c r="D19" s="41">
        <f>'CO2'!B3</f>
        <v>0</v>
      </c>
      <c r="E19" s="41">
        <f>'CO2'!B4</f>
        <v>73.333333333333329</v>
      </c>
      <c r="F19" s="41">
        <f>'CO2'!B5</f>
        <v>204.6</v>
      </c>
      <c r="G19" s="42">
        <f>'CO2'!B6</f>
        <v>11.007999999999999</v>
      </c>
    </row>
    <row r="21" spans="2:8" ht="30">
      <c r="B21" s="31" t="s">
        <v>91</v>
      </c>
      <c r="C21" s="185" t="s">
        <v>92</v>
      </c>
      <c r="D21" s="185"/>
      <c r="E21" s="185"/>
      <c r="F21" s="185"/>
      <c r="G21" s="185"/>
    </row>
    <row r="23" spans="2:8" ht="20">
      <c r="B23" s="192" t="s">
        <v>83</v>
      </c>
      <c r="C23" s="192"/>
      <c r="D23" s="192"/>
      <c r="E23" s="192"/>
      <c r="F23" s="192"/>
      <c r="G23" s="192"/>
    </row>
    <row r="25" spans="2:8">
      <c r="B25" s="28" t="s">
        <v>84</v>
      </c>
      <c r="C25" s="28"/>
    </row>
    <row r="26" spans="2:8" ht="28">
      <c r="B26" s="48" t="s">
        <v>85</v>
      </c>
      <c r="C26" s="32" t="s">
        <v>65</v>
      </c>
      <c r="D26" s="32" t="s">
        <v>66</v>
      </c>
      <c r="E26" s="32" t="s">
        <v>19</v>
      </c>
      <c r="F26" s="32" t="s">
        <v>20</v>
      </c>
      <c r="G26" s="33" t="s">
        <v>21</v>
      </c>
    </row>
    <row r="27" spans="2:8">
      <c r="B27" s="51">
        <f>C4*C6</f>
        <v>350000</v>
      </c>
      <c r="C27" s="52">
        <f>$B$27*C9</f>
        <v>98000.000000000015</v>
      </c>
      <c r="D27" s="52">
        <f>$B$27*D9</f>
        <v>45500</v>
      </c>
      <c r="E27" s="52">
        <f>$B$27*E9</f>
        <v>94500</v>
      </c>
      <c r="F27" s="52">
        <f>$B$27*F9</f>
        <v>84000</v>
      </c>
      <c r="G27" s="53">
        <f>$B$27*G9</f>
        <v>28000</v>
      </c>
      <c r="H27" s="50"/>
    </row>
    <row r="28" spans="2:8">
      <c r="B28" s="56"/>
      <c r="C28" s="56"/>
      <c r="D28" s="56"/>
      <c r="E28" s="56"/>
      <c r="F28" s="56"/>
      <c r="G28" s="56"/>
      <c r="H28" s="50"/>
    </row>
    <row r="29" spans="2:8" ht="42">
      <c r="B29" s="31" t="s">
        <v>93</v>
      </c>
      <c r="C29" s="190" t="s">
        <v>96</v>
      </c>
      <c r="D29" s="190"/>
      <c r="E29" s="190"/>
      <c r="F29" s="190"/>
      <c r="G29" s="190"/>
      <c r="H29" s="50"/>
    </row>
    <row r="31" spans="2:8">
      <c r="B31" s="28" t="s">
        <v>87</v>
      </c>
    </row>
    <row r="32" spans="2:8" ht="28">
      <c r="B32" s="48" t="s">
        <v>85</v>
      </c>
      <c r="C32" s="32" t="s">
        <v>65</v>
      </c>
      <c r="D32" s="32" t="s">
        <v>66</v>
      </c>
      <c r="E32" s="32" t="s">
        <v>19</v>
      </c>
      <c r="F32" s="32" t="s">
        <v>20</v>
      </c>
      <c r="G32" s="33" t="s">
        <v>21</v>
      </c>
    </row>
    <row r="33" spans="2:7">
      <c r="B33" s="51">
        <f>SUM(C33:G33)</f>
        <v>4007214.6415552855</v>
      </c>
      <c r="C33" s="52">
        <f>C27*C14</f>
        <v>129531.47023086272</v>
      </c>
      <c r="D33" s="52">
        <f t="shared" ref="D33:G33" si="0">D27*D14</f>
        <v>137461.96840826247</v>
      </c>
      <c r="E33" s="52">
        <f t="shared" si="0"/>
        <v>1900345.625759417</v>
      </c>
      <c r="F33" s="52">
        <f t="shared" si="0"/>
        <v>1451281.1664641555</v>
      </c>
      <c r="G33" s="53">
        <f t="shared" si="0"/>
        <v>388594.41069258814</v>
      </c>
    </row>
    <row r="34" spans="2:7">
      <c r="B34" s="56"/>
      <c r="C34" s="56"/>
      <c r="D34" s="56"/>
      <c r="E34" s="56"/>
      <c r="F34" s="56"/>
      <c r="G34" s="56"/>
    </row>
    <row r="35" spans="2:7" ht="45" customHeight="1">
      <c r="B35" s="31" t="s">
        <v>94</v>
      </c>
      <c r="C35" s="190" t="s">
        <v>97</v>
      </c>
      <c r="D35" s="190"/>
      <c r="E35" s="190"/>
      <c r="F35" s="190"/>
      <c r="G35" s="190"/>
    </row>
    <row r="37" spans="2:7" ht="16">
      <c r="B37" s="28" t="s">
        <v>86</v>
      </c>
    </row>
    <row r="38" spans="2:7" ht="28">
      <c r="B38" s="48" t="s">
        <v>85</v>
      </c>
      <c r="C38" s="32" t="s">
        <v>65</v>
      </c>
      <c r="D38" s="32" t="s">
        <v>66</v>
      </c>
      <c r="E38" s="32" t="s">
        <v>19</v>
      </c>
      <c r="F38" s="32" t="s">
        <v>20</v>
      </c>
      <c r="G38" s="33" t="s">
        <v>21</v>
      </c>
    </row>
    <row r="39" spans="2:7">
      <c r="B39" s="51">
        <f>SUM(C39:G39)</f>
        <v>440.56845315382748</v>
      </c>
      <c r="C39" s="53">
        <f t="shared" ref="C39:D39" si="1">C33*C19/1000</f>
        <v>0</v>
      </c>
      <c r="D39" s="53">
        <f t="shared" si="1"/>
        <v>0</v>
      </c>
      <c r="E39" s="53">
        <f>E33*E19/1000000</f>
        <v>139.35867922235724</v>
      </c>
      <c r="F39" s="53">
        <f>F33*F19/1000000</f>
        <v>296.93212665856623</v>
      </c>
      <c r="G39" s="53">
        <f>G33*G19/1000000</f>
        <v>4.2776472729040096</v>
      </c>
    </row>
    <row r="41" spans="2:7" ht="48" customHeight="1">
      <c r="B41" s="31" t="s">
        <v>95</v>
      </c>
      <c r="C41" s="190" t="s">
        <v>98</v>
      </c>
      <c r="D41" s="190"/>
      <c r="E41" s="190"/>
      <c r="F41" s="190"/>
      <c r="G41" s="190"/>
    </row>
  </sheetData>
  <mergeCells count="8">
    <mergeCell ref="C29:G29"/>
    <mergeCell ref="C35:G35"/>
    <mergeCell ref="C41:G41"/>
    <mergeCell ref="B2:G2"/>
    <mergeCell ref="B23:G23"/>
    <mergeCell ref="C11:G11"/>
    <mergeCell ref="C16:G16"/>
    <mergeCell ref="C21:G21"/>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election activeCell="K19" sqref="K19"/>
    </sheetView>
  </sheetViews>
  <sheetFormatPr baseColWidth="10" defaultRowHeight="14" x14ac:dyDescent="0"/>
  <cols>
    <col min="1" max="1" width="26" customWidth="1"/>
  </cols>
  <sheetData>
    <row r="1" spans="1:6" ht="18">
      <c r="A1" s="135" t="s">
        <v>29</v>
      </c>
    </row>
    <row r="3" spans="1:6">
      <c r="A3" t="s">
        <v>30</v>
      </c>
    </row>
    <row r="4" spans="1:6">
      <c r="A4" t="s">
        <v>31</v>
      </c>
      <c r="B4">
        <v>20000</v>
      </c>
    </row>
    <row r="5" spans="1:6">
      <c r="A5" t="s">
        <v>43</v>
      </c>
      <c r="B5" t="str">
        <f>IF($B$4&lt;2000,"7",(IF($B$4&lt;5000,"6",(IF($B$4&lt;20000,"5",(IF($B$4&lt;50000,"4",(IF($B$4&lt;100000,"3",(IF($B$4&lt;500000,"2","1")))))))))))</f>
        <v>4</v>
      </c>
    </row>
    <row r="10" spans="1:6">
      <c r="A10" t="s">
        <v>37</v>
      </c>
    </row>
    <row r="11" spans="1:6">
      <c r="B11" s="194" t="s">
        <v>47</v>
      </c>
      <c r="C11" s="194"/>
      <c r="D11" s="194"/>
      <c r="E11" s="194"/>
      <c r="F11" s="194"/>
    </row>
    <row r="12" spans="1:6">
      <c r="B12" t="s">
        <v>17</v>
      </c>
      <c r="C12" t="s">
        <v>18</v>
      </c>
      <c r="D12" t="s">
        <v>19</v>
      </c>
      <c r="E12" t="s">
        <v>33</v>
      </c>
      <c r="F12" t="s">
        <v>34</v>
      </c>
    </row>
    <row r="13" spans="1:6">
      <c r="A13" t="s">
        <v>35</v>
      </c>
      <c r="B13">
        <f>VLOOKUP(4,'Modal Split'!$A$3:$F$9,2,FALSE)</f>
        <v>22.6</v>
      </c>
      <c r="C13">
        <f>VLOOKUP(4,'Modal Split'!$A$3:$F$9,3,FALSE)</f>
        <v>12.4</v>
      </c>
      <c r="D13">
        <f>VLOOKUP(4,'Modal Split'!$A$3:$F$9,4,FALSE)</f>
        <v>5.9</v>
      </c>
      <c r="E13">
        <f>VLOOKUP(4,'Modal Split'!$A$3:$F$9,5,FALSE)</f>
        <v>43.1</v>
      </c>
      <c r="F13">
        <f>VLOOKUP(4,'Modal Split'!$A$3:$F$9,6,FALSE)</f>
        <v>16</v>
      </c>
    </row>
    <row r="14" spans="1:6">
      <c r="A14" t="s">
        <v>36</v>
      </c>
      <c r="B14" s="5">
        <f>IF($B$4&lt;2000,VLOOKUP(7,'Modal Split'!$A$3:$F$9,2,FALSE),(IF($B$4&lt;5000,VLOOKUP(6,'Modal Split'!$A$3:$F$9,2,FALSE),(IF($B$4&lt;20000,VLOOKUP(5,'Modal Split'!$A$3:$F$9,2,FALSE),(IF($B$4&lt;50000,VLOOKUP(4,'Modal Split'!$A$3:$F$9,2,FALSE),(IF($B$4&lt;100000,VLOOKUP(3,'Modal Split'!$A$3:$F$9,2,FALSE),(IF($B$4&lt;500000,VLOOKUP(2,'Modal Split'!$A$3:$F$9,2,FALSE),VLOOKUP(1,'Modal Split'!$A$3:$F$9,2,FALSE))))))))))))</f>
        <v>22.6</v>
      </c>
      <c r="C14">
        <f>IF($B$4&lt;2000,VLOOKUP(7,'Modal Split'!$A$3:$F$9,3,FALSE),(IF($B$4&lt;5000,VLOOKUP(6,'Modal Split'!$A$3:$F$9,3,FALSE),(IF($B$4&lt;20000,VLOOKUP(5,'Modal Split'!$A$3:$F$9,3,FALSE),(IF($B$4&lt;50000,VLOOKUP(4,'Modal Split'!$A$3:$F$9,3,FALSE),(IF($B$4&lt;100000,VLOOKUP(3,'Modal Split'!$A$3:$F$9,3,FALSE),(IF($B$4&lt;500000,VLOOKUP(2,'Modal Split'!$A$3:$F$9,3,FALSE),VLOOKUP(1,'Modal Split'!$A$3:$F$9,3,FALSE))))))))))))</f>
        <v>12.4</v>
      </c>
      <c r="D14">
        <f>IF($B$4&lt;2000,VLOOKUP(7,'Modal Split'!$A$3:$F$9,4,FALSE),(IF($B$4&lt;5000,VLOOKUP(6,'Modal Split'!$A$3:$F$9,4,FALSE),(IF($B$4&lt;20000,VLOOKUP(5,'Modal Split'!$A$3:$F$9,4,FALSE),(IF($B$4&lt;50000,VLOOKUP(4,'Modal Split'!$A$3:$F$9,4,FALSE),(IF($B$4&lt;100000,VLOOKUP(3,'Modal Split'!$A$3:$F$9,4,FALSE),(IF($B$4&lt;500000,VLOOKUP(2,'Modal Split'!$A$3:$F$9,4,FALSE),VLOOKUP(1,'Modal Split'!$A$3:$F$9,4,FALSE))))))))))))</f>
        <v>5.9</v>
      </c>
      <c r="E14">
        <f>IF($B$4&lt;2000,VLOOKUP(7,'Modal Split'!$A$3:$F$9,5,FALSE),(IF($B$4&lt;5000,VLOOKUP(6,'Modal Split'!$A$3:$F$9,5,FALSE),(IF($B$4&lt;20000,VLOOKUP(5,'Modal Split'!$A$3:$F$9,5,FALSE),(IF($B$4&lt;50000,VLOOKUP(4,'Modal Split'!$A$3:$F$9,5,FALSE),(IF($B$4&lt;100000,VLOOKUP(3,'Modal Split'!$A$3:$F$9,5,FALSE),(IF($B$4&lt;500000,VLOOKUP(2,'Modal Split'!$A$3:$F$9,5,FALSE),VLOOKUP(1,'Modal Split'!$A$3:$F$9,5,FALSE))))))))))))</f>
        <v>43.1</v>
      </c>
      <c r="F14">
        <f>IF($B$4&lt;2000,VLOOKUP(7,'Modal Split'!$A$3:$F$9,6,FALSE),(IF($B$4&lt;5000,VLOOKUP(6,'Modal Split'!$A$3:$F$9,6,FALSE),(IF($B$4&lt;20000,VLOOKUP(5,'Modal Split'!$A$3:$F$9,6,FALSE),(IF($B$4&lt;50000,VLOOKUP(4,'Modal Split'!$A$3:$F$9,6,FALSE),(IF($B$4&lt;100000,VLOOKUP(3,'Modal Split'!$A$3:$F$9,6,FALSE),(IF($B$4&lt;500000,VLOOKUP(2,'Modal Split'!$A$3:$F$9,6,FALSE),VLOOKUP(1,'Modal Split'!$A$3:$F$9,6,FALSE))))))))))))</f>
        <v>16</v>
      </c>
    </row>
    <row r="15" spans="1:6">
      <c r="B15" s="194" t="s">
        <v>46</v>
      </c>
      <c r="C15" s="194"/>
      <c r="D15" s="194"/>
      <c r="E15" s="194"/>
      <c r="F15" s="194"/>
    </row>
    <row r="16" spans="1:6">
      <c r="A16" t="s">
        <v>35</v>
      </c>
      <c r="B16" s="4">
        <f>VLOOKUP(4,Wegelängen!$A$3:$I$9,4,FALSE)</f>
        <v>1.3217496962332929</v>
      </c>
      <c r="C16" s="4">
        <f>VLOOKUP(4,Wegelängen!$A$3:$I$9,5,FALSE)</f>
        <v>3.0211421628189554</v>
      </c>
      <c r="D16" s="4">
        <f>VLOOKUP(4,Wegelängen!$A$3:$I$9,6,FALSE)</f>
        <v>20.10947752126367</v>
      </c>
      <c r="E16" s="4">
        <f>VLOOKUP(4,Wegelängen!$A$3:$I$9,7,FALSE)</f>
        <v>17.2771567436209</v>
      </c>
      <c r="F16" s="4">
        <f>VLOOKUP(4,Wegelängen!$A$3:$I$9,8,FALSE)</f>
        <v>13.878371810449575</v>
      </c>
    </row>
    <row r="17" spans="1:6">
      <c r="A17" t="s">
        <v>36</v>
      </c>
      <c r="B17" s="4">
        <f>IF($B$4&lt;2000,VLOOKUP(7,Wegelängen!$A$3:$I$9,4,FALSE),(IF($B$4&lt;5000,VLOOKUP(6,Wegelängen!$A$3:$I$9,4,FALSE),(IF($B$4&lt;20000,VLOOKUP(5,Wegelängen!$A$3:$I$9,4,FALSE),(IF($B$4&lt;50000,VLOOKUP(4,Wegelängen!$A$3:$I$9,4,FALSE),(IF($B$4&lt;100000,VLOOKUP(3,Wegelängen!$A$3:$I$9,4,FALSE),(IF($B$4&lt;500000,VLOOKUP(2,Wegelängen!$A$3:$I$9,4,FALSE),VLOOKUP(1,Wegelängen!$A$3:$I$9,4,FALSE))))))))))))</f>
        <v>1.3217496962332929</v>
      </c>
      <c r="C17" s="4">
        <f>IF($B$4&lt;2000,VLOOKUP(7,Wegelängen!$A$3:$I$9,5,FALSE),(IF($B$4&lt;5000,VLOOKUP(6,Wegelängen!$A$3:$I$9,5,FALSE),(IF($B$4&lt;20000,VLOOKUP(5,Wegelängen!$A$3:$I$9,5,FALSE),(IF($B$4&lt;50000,VLOOKUP(4,Wegelängen!$A$3:$I$9,5,FALSE),(IF($B$4&lt;100000,VLOOKUP(3,Wegelängen!$A$3:$I$9,5,FALSE),(IF($B$4&lt;500000,VLOOKUP(2,Wegelängen!$A$3:$I$9,5,FALSE),VLOOKUP(1,Wegelängen!$A$3:$I$9,5,FALSE))))))))))))</f>
        <v>3.0211421628189554</v>
      </c>
      <c r="D17" s="4">
        <f>IF($B$4&lt;2000,VLOOKUP(7,Wegelängen!$A$3:$I$9,6,FALSE),(IF($B$4&lt;5000,VLOOKUP(6,Wegelängen!$A$3:$I$9,6,FALSE),(IF($B$4&lt;20000,VLOOKUP(5,Wegelängen!$A$3:$I$9,6,FALSE),(IF($B$4&lt;50000,VLOOKUP(4,Wegelängen!$A$3:$I$9,6,FALSE),(IF($B$4&lt;100000,VLOOKUP(3,Wegelängen!$A$3:$I$9,6,FALSE),(IF($B$4&lt;500000,VLOOKUP(2,Wegelängen!$A$3:$I$9,6,FALSE),VLOOKUP(1,Wegelängen!$A$3:$I$9,6,FALSE))))))))))))</f>
        <v>20.10947752126367</v>
      </c>
      <c r="E17" s="4">
        <f>IF($B$4&lt;2000,VLOOKUP(7,Wegelängen!$A$3:$I$9,7,FALSE),(IF($B$4&lt;5000,VLOOKUP(6,Wegelängen!$A$3:$I$9,7,FALSE),(IF($B$4&lt;20000,VLOOKUP(5,Wegelängen!$A$3:$I$9,7,FALSE),(IF($B$4&lt;50000,VLOOKUP(4,Wegelängen!$A$3:$I$9,7,FALSE),(IF($B$4&lt;100000,VLOOKUP(3,Wegelängen!$A$3:$I$9,7,FALSE),(IF($B$4&lt;500000,VLOOKUP(2,Wegelängen!$A$3:$I$9,7,FALSE),VLOOKUP(1,Wegelängen!$A$3:$I$9,7,FALSE))))))))))))</f>
        <v>17.2771567436209</v>
      </c>
      <c r="F17" s="4">
        <f>IF($B$4&lt;2000,VLOOKUP(7,Wegelängen!$A$3:$I$9,8,FALSE),(IF($B$4&lt;5000,VLOOKUP(6,Wegelängen!$A$3:$I$9,8,FALSE),(IF($B$4&lt;20000,VLOOKUP(5,Wegelängen!$A$3:$I$9,8,FALSE),(IF($B$4&lt;50000,VLOOKUP(4,Wegelängen!$A$3:$I$9,8,FALSE),(IF($B$4&lt;100000,VLOOKUP(3,Wegelängen!$A$3:$I$9,8,FALSE),(IF($B$4&lt;500000,VLOOKUP(2,Wegelängen!$A$3:$I$9,8,FALSE),VLOOKUP(1,Wegelängen!$A$3:$I$9,8,FALSE))))))))))))</f>
        <v>13.878371810449575</v>
      </c>
    </row>
    <row r="18" spans="1:6">
      <c r="B18" s="194" t="s">
        <v>45</v>
      </c>
      <c r="C18" s="194"/>
      <c r="D18" s="194"/>
      <c r="E18" s="194"/>
      <c r="F18" s="194"/>
    </row>
    <row r="19" spans="1:6">
      <c r="A19" t="s">
        <v>39</v>
      </c>
      <c r="B19">
        <f>'CO2'!B2</f>
        <v>0</v>
      </c>
      <c r="C19">
        <f>'CO2'!B3</f>
        <v>0</v>
      </c>
      <c r="D19">
        <f>'CO2'!B4</f>
        <v>73.333333333333329</v>
      </c>
      <c r="E19">
        <f>'CO2'!B5</f>
        <v>204.6</v>
      </c>
      <c r="F19">
        <f>'CO2'!B6</f>
        <v>11.007999999999999</v>
      </c>
    </row>
    <row r="21" spans="1:6">
      <c r="B21" t="s">
        <v>8</v>
      </c>
    </row>
    <row r="22" spans="1:6">
      <c r="A22" t="s">
        <v>35</v>
      </c>
      <c r="B22">
        <f>VLOOKUP(4,Wegelängen!A3:I9,9,FALSE)</f>
        <v>3.5</v>
      </c>
    </row>
    <row r="23" spans="1:6">
      <c r="A23" t="s">
        <v>36</v>
      </c>
      <c r="B23">
        <f>IF($B$4&lt;2000,VLOOKUP(7,Wegelängen!$A$3:$I$9,9,FALSE),(IF($B$4&lt;5000,VLOOKUP(6,Wegelängen!$A$3:$I$9,9,FALSE),(IF($B$4&lt;20000,VLOOKUP(5,Wegelängen!$A$3:$I$9,9,FALSE),(IF($B$4&lt;50000,VLOOKUP(4,Wegelängen!$A$3:$I$9,9,FALSE),(IF($B$4&lt;100000,VLOOKUP(3,Wegelängen!$A$3:$I$9,9,FALSE),(IF($B$4&lt;500000,VLOOKUP(2,Wegelängen!$A$3:$I$9,9,FALSE),VLOOKUP(1,Wegelängen!$A$3:$I$9,9,FALSE))))))))))))</f>
        <v>3.5</v>
      </c>
    </row>
    <row r="25" spans="1:6">
      <c r="A25" t="s">
        <v>40</v>
      </c>
    </row>
    <row r="26" spans="1:6">
      <c r="B26" s="194" t="s">
        <v>42</v>
      </c>
      <c r="C26" s="194"/>
      <c r="D26" s="194"/>
      <c r="E26" s="194"/>
      <c r="F26" s="194"/>
    </row>
    <row r="27" spans="1:6" ht="61.5" customHeight="1">
      <c r="B27" s="185" t="s">
        <v>50</v>
      </c>
      <c r="C27" s="185"/>
      <c r="D27" s="185"/>
      <c r="E27" s="185"/>
      <c r="F27" s="185"/>
    </row>
    <row r="28" spans="1:6">
      <c r="B28" s="7" t="s">
        <v>41</v>
      </c>
      <c r="C28" s="2"/>
      <c r="D28" s="2"/>
      <c r="E28" s="2"/>
      <c r="F28" s="2"/>
    </row>
    <row r="29" spans="1:6">
      <c r="A29" t="s">
        <v>38</v>
      </c>
      <c r="B29" s="9">
        <f>$B$4*$B$22</f>
        <v>70000</v>
      </c>
      <c r="C29" s="2"/>
      <c r="D29" s="2"/>
      <c r="E29" s="2"/>
      <c r="F29" s="2"/>
    </row>
    <row r="30" spans="1:6">
      <c r="A30" t="s">
        <v>39</v>
      </c>
      <c r="B30">
        <f>IF($B$4&lt;2000,VLOOKUP(7,Wegelängen!$A$3:$I$9,9,FALSE),(IF($B$4&lt;5000,VLOOKUP(6,Wegelängen!$A$3:$I$9,9,FALSE),(IF($B$4&lt;20000,VLOOKUP(5,Wegelängen!$A$3:$I$9,9,FALSE),(IF($B$4&lt;50000,VLOOKUP(4,Wegelängen!$A$3:$I$9,9,FALSE),(IF($B$4&lt;100000,VLOOKUP(3,Wegelängen!$A$3:$I$9,9,FALSE),(IF($B$4&lt;500000,VLOOKUP(2,Wegelängen!$A$3:$I$9,9,FALSE),VLOOKUP(1,Wegelängen!$A$3:$I$9,9,FALSE))))))))))))*$B$4</f>
        <v>70000</v>
      </c>
      <c r="C30" s="2"/>
      <c r="D30" s="2"/>
      <c r="E30" s="2"/>
      <c r="F30" s="2"/>
    </row>
    <row r="31" spans="1:6">
      <c r="B31" t="s">
        <v>17</v>
      </c>
      <c r="C31" t="s">
        <v>18</v>
      </c>
      <c r="D31" t="s">
        <v>19</v>
      </c>
      <c r="E31" t="s">
        <v>33</v>
      </c>
      <c r="F31" t="s">
        <v>34</v>
      </c>
    </row>
    <row r="32" spans="1:6">
      <c r="A32" t="s">
        <v>38</v>
      </c>
      <c r="B32">
        <f>$B$4*$B$22*B13/100</f>
        <v>15820</v>
      </c>
      <c r="C32">
        <f t="shared" ref="C32:F32" si="0">$B$4*$B$22*C13/100</f>
        <v>8680</v>
      </c>
      <c r="D32">
        <f t="shared" si="0"/>
        <v>4130</v>
      </c>
      <c r="E32">
        <f t="shared" si="0"/>
        <v>30170</v>
      </c>
      <c r="F32">
        <f t="shared" si="0"/>
        <v>11200</v>
      </c>
    </row>
    <row r="33" spans="1:7">
      <c r="A33" t="s">
        <v>39</v>
      </c>
      <c r="B33">
        <f>(IF($B$4&lt;2000,VLOOKUP(7,'Modal Split'!$A$3:$F$9,2,FALSE),(IF($B$4&lt;5000,VLOOKUP(6,'Modal Split'!$A$3:$F$9,2,FALSE),(IF($B$4&lt;20000,VLOOKUP(5,'Modal Split'!$A$3:$F$9,2,FALSE),(IF($B$4&lt;50000,VLOOKUP(4,'Modal Split'!$A$3:$F$9,2,FALSE),(IF($B$4&lt;100000,VLOOKUP(3,'Modal Split'!$A$3:$F$9,2,FALSE),(IF($B$4&lt;500000,VLOOKUP(2,'Modal Split'!$A$3:$F$9,2,FALSE),VLOOKUP(1,'Modal Split'!$A$3:$F$9,2,FALSE)))))))))))))*(IF($B$4&lt;2000,VLOOKUP(7,Wegelängen!$A$3:$I$9,9,FALSE),(IF($B$4&lt;5000,VLOOKUP(6,Wegelängen!$A$3:$I$9,9,FALSE),(IF($B$4&lt;20000,VLOOKUP(5,Wegelängen!$A$3:$I$9,9,FALSE),(IF($B$4&lt;50000,VLOOKUP(4,Wegelängen!$A$3:$I$9,9,FALSE),(IF($B$4&lt;100000,VLOOKUP(3,Wegelängen!$A$3:$I$9,9,FALSE),(IF($B$4&lt;500000,VLOOKUP(2,Wegelängen!$A$3:$I$9,9,FALSE),VLOOKUP(1,Wegelängen!$A$3:$I$9,9,FALSE)))))))))))))*$B$4/100</f>
        <v>15820.000000000002</v>
      </c>
      <c r="C33">
        <f>(IF($B$4&lt;2000,VLOOKUP(7,'Modal Split'!$A$3:$F$9,3,FALSE),(IF($B$4&lt;5000,VLOOKUP(6,'Modal Split'!$A$3:$F$9,3,FALSE),(IF($B$4&lt;20000,VLOOKUP(5,'Modal Split'!$A$3:$F$9,3,FALSE),(IF($B$4&lt;50000,VLOOKUP(4,'Modal Split'!$A$3:$F$9,3,FALSE),(IF($B$4&lt;100000,VLOOKUP(3,'Modal Split'!$A$3:$F$9,3,FALSE),(IF($B$4&lt;500000,VLOOKUP(2,'Modal Split'!$A$3:$F$9,3,FALSE),VLOOKUP(1,'Modal Split'!$A$3:$F$9,3,FALSE)))))))))))))*(IF($B$4&lt;2000,VLOOKUP(7,Wegelängen!$A$3:$I$9,9,FALSE),(IF($B$4&lt;5000,VLOOKUP(6,Wegelängen!$A$3:$I$9,9,FALSE),(IF($B$4&lt;20000,VLOOKUP(5,Wegelängen!$A$3:$I$9,9,FALSE),(IF($B$4&lt;50000,VLOOKUP(4,Wegelängen!$A$3:$I$9,9,FALSE),(IF($B$4&lt;100000,VLOOKUP(3,Wegelängen!$A$3:$I$9,9,FALSE),(IF($B$4&lt;500000,VLOOKUP(2,Wegelängen!$A$3:$I$9,9,FALSE),VLOOKUP(1,Wegelängen!$A$3:$I$9,9,FALSE)))))))))))))*$B$4/100</f>
        <v>8680</v>
      </c>
      <c r="D33">
        <f>(IF($B$4&lt;2000,VLOOKUP(7,'Modal Split'!$A$3:$F$9,4,FALSE),(IF($B$4&lt;5000,VLOOKUP(6,'Modal Split'!$A$3:$F$9,4,FALSE),(IF($B$4&lt;20000,VLOOKUP(5,'Modal Split'!$A$3:$F$9,4,FALSE),(IF($B$4&lt;50000,VLOOKUP(4,'Modal Split'!$A$3:$F$9,4,FALSE),(IF($B$4&lt;100000,VLOOKUP(3,'Modal Split'!$A$3:$F$9,4,FALSE),(IF($B$4&lt;500000,VLOOKUP(2,'Modal Split'!$A$3:$F$9,4,FALSE),VLOOKUP(1,'Modal Split'!$A$3:$F$9,4,FALSE)))))))))))))*(IF($B$4&lt;2000,VLOOKUP(7,Wegelängen!$A$3:$I$9,9,FALSE),(IF($B$4&lt;5000,VLOOKUP(6,Wegelängen!$A$3:$I$9,9,FALSE),(IF($B$4&lt;20000,VLOOKUP(5,Wegelängen!$A$3:$I$9,9,FALSE),(IF($B$4&lt;50000,VLOOKUP(4,Wegelängen!$A$3:$I$9,9,FALSE),(IF($B$4&lt;100000,VLOOKUP(3,Wegelängen!$A$3:$I$9,9,FALSE),(IF($B$4&lt;500000,VLOOKUP(2,Wegelängen!$A$3:$I$9,9,FALSE),VLOOKUP(1,Wegelängen!$A$3:$I$9,9,FALSE)))))))))))))*$B$4/100</f>
        <v>4130.0000000000009</v>
      </c>
      <c r="E33">
        <f>(IF($B$4&lt;2000,VLOOKUP(7,'Modal Split'!$A$3:$F$9,5,FALSE),(IF($B$4&lt;5000,VLOOKUP(6,'Modal Split'!$A$3:$F$9,5,FALSE),(IF($B$4&lt;20000,VLOOKUP(5,'Modal Split'!$A$3:$F$9,5,FALSE),(IF($B$4&lt;50000,VLOOKUP(4,'Modal Split'!$A$3:$F$9,5,FALSE),(IF($B$4&lt;100000,VLOOKUP(3,'Modal Split'!$A$3:$F$9,5,FALSE),(IF($B$4&lt;500000,VLOOKUP(2,'Modal Split'!$A$3:$F$9,5,FALSE),VLOOKUP(1,'Modal Split'!$A$3:$F$9,5,FALSE)))))))))))))*(IF($B$4&lt;2000,VLOOKUP(7,Wegelängen!$A$3:$I$9,9,FALSE),(IF($B$4&lt;5000,VLOOKUP(6,Wegelängen!$A$3:$I$9,9,FALSE),(IF($B$4&lt;20000,VLOOKUP(5,Wegelängen!$A$3:$I$9,9,FALSE),(IF($B$4&lt;50000,VLOOKUP(4,Wegelängen!$A$3:$I$9,9,FALSE),(IF($B$4&lt;100000,VLOOKUP(3,Wegelängen!$A$3:$I$9,9,FALSE),(IF($B$4&lt;500000,VLOOKUP(2,Wegelängen!$A$3:$I$9,9,FALSE),VLOOKUP(1,Wegelängen!$A$3:$I$9,9,FALSE)))))))))))))*$B$4/100</f>
        <v>30170</v>
      </c>
      <c r="F33">
        <f>(IF($B$4&lt;2000,VLOOKUP(7,'Modal Split'!$A$3:$F$9,6,FALSE),(IF($B$4&lt;5000,VLOOKUP(6,'Modal Split'!$A$3:$F$9,6,FALSE),(IF($B$4&lt;20000,VLOOKUP(5,'Modal Split'!$A$3:$F$9,6,FALSE),(IF($B$4&lt;50000,VLOOKUP(4,'Modal Split'!$A$3:$F$9,6,FALSE),(IF($B$4&lt;100000,VLOOKUP(3,'Modal Split'!$A$3:$F$9,6,FALSE),(IF($B$4&lt;500000,VLOOKUP(2,'Modal Split'!$A$3:$F$9,6,FALSE),VLOOKUP(1,'Modal Split'!$A$3:$F$9,6,FALSE)))))))))))))*(IF($B$4&lt;2000,VLOOKUP(7,Wegelängen!$A$3:$I$9,9,FALSE),(IF($B$4&lt;5000,VLOOKUP(6,Wegelängen!$A$3:$I$9,9,FALSE),(IF($B$4&lt;20000,VLOOKUP(5,Wegelängen!$A$3:$I$9,9,FALSE),(IF($B$4&lt;50000,VLOOKUP(4,Wegelängen!$A$3:$I$9,9,FALSE),(IF($B$4&lt;100000,VLOOKUP(3,Wegelängen!$A$3:$I$9,9,FALSE),(IF($B$4&lt;500000,VLOOKUP(2,Wegelängen!$A$3:$I$9,9,FALSE),VLOOKUP(1,Wegelängen!$A$3:$I$9,9,FALSE)))))))))))))*$B$4/100</f>
        <v>11200</v>
      </c>
    </row>
    <row r="35" spans="1:7">
      <c r="B35" s="194" t="s">
        <v>48</v>
      </c>
      <c r="C35" s="194"/>
      <c r="D35" s="194"/>
      <c r="E35" s="194"/>
      <c r="F35" s="194"/>
    </row>
    <row r="36" spans="1:7" ht="90" customHeight="1">
      <c r="B36" s="185" t="s">
        <v>51</v>
      </c>
      <c r="C36" s="185"/>
      <c r="D36" s="185"/>
      <c r="E36" s="185"/>
      <c r="F36" s="185"/>
    </row>
    <row r="37" spans="1:7">
      <c r="B37" s="7" t="s">
        <v>41</v>
      </c>
      <c r="C37" s="2"/>
      <c r="D37" s="2"/>
      <c r="E37" s="2"/>
      <c r="F37" s="2"/>
    </row>
    <row r="38" spans="1:7">
      <c r="A38" t="s">
        <v>38</v>
      </c>
      <c r="B38" s="8">
        <f>(($B$4*B13*B16/100)+($B$4*C13*C16/100)+($B$4*D13*D16/100)+($B$4*E13*E16/100)+($B$4*F13*F16/100))*3.5</f>
        <v>806875.3195625759</v>
      </c>
      <c r="C38" s="2"/>
      <c r="D38" s="2"/>
      <c r="E38" s="2"/>
      <c r="F38" s="2"/>
    </row>
    <row r="39" spans="1:7">
      <c r="A39" t="s">
        <v>39</v>
      </c>
      <c r="B39" s="8">
        <f>((IF($B$4&lt;2000,VLOOKUP(7,'Modal Split'!$A$3:$F$9,2,FALSE),(IF($B$4&lt;5000,VLOOKUP(6,'Modal Split'!$A$3:$F$9,2,FALSE),(IF($B$4&lt;20000,VLOOKUP(5,'Modal Split'!$A$3:$F$9,2,FALSE),(IF($B$4&lt;50000,VLOOKUP(4,'Modal Split'!$A$3:$F$9,2,FALSE),(IF($B$4&lt;100000,VLOOKUP(3,'Modal Split'!$A$3:$F$9,2,FALSE),(IF($B$4&lt;500000,VLOOKUP(2,'Modal Split'!$A$3:$F$9,2,FALSE),VLOOKUP(1,'Modal Split'!$A$3:$F$9,2,FALSE)))))))))))))*(IF($B$4&lt;2000,VLOOKUP(7,Wegelängen!$A$3:$I$9,9,FALSE),(IF($B$4&lt;5000,VLOOKUP(6,Wegelängen!$A$3:$I$9,9,FALSE),(IF($B$4&lt;20000,VLOOKUP(5,Wegelängen!$A$3:$I$9,9,FALSE),(IF($B$4&lt;50000,VLOOKUP(4,Wegelängen!$A$3:$I$9,9,FALSE),(IF($B$4&lt;100000,VLOOKUP(3,Wegelängen!$A$3:$I$9,9,FALSE),(IF($B$4&lt;500000,VLOOKUP(2,Wegelängen!$A$3:$I$9,9,FALSE),VLOOKUP(1,Wegelängen!$A$3:$I$9,9,FALSE)))))))))))))*(IF($B$4&lt;2000,VLOOKUP(7,Wegelängen!$A$3:$I$9,4,FALSE),(IF($B$4&lt;5000,VLOOKUP(6,Wegelängen!$A$3:$I$9,4,FALSE),(IF($B$4&lt;20000,VLOOKUP(5,Wegelängen!$A$3:$I$9,4,FALSE),(IF($B$4&lt;50000,VLOOKUP(4,Wegelängen!$A$3:$I$9,4,FALSE),(IF($B$4&lt;100000,VLOOKUP(3,Wegelängen!$A$3:$I$9,4,FALSE),(IF($B$4&lt;500000,VLOOKUP(2,Wegelängen!$A$3:$I$9,4,FALSE),VLOOKUP(1,Wegelängen!$A$3:$I$9,4,FALSE)))))))))))))*$B$4/100)+((IF($B$4&lt;2000,VLOOKUP(7,'Modal Split'!$A$3:$F$9,3,FALSE),(IF($B$4&lt;5000,VLOOKUP(6,'Modal Split'!$A$3:$F$9,3,FALSE),(IF($B$4&lt;20000,VLOOKUP(5,'Modal Split'!$A$3:$F$9,3,FALSE),(IF($B$4&lt;50000,VLOOKUP(4,'Modal Split'!$A$3:$F$9,3,FALSE),(IF($B$4&lt;100000,VLOOKUP(3,'Modal Split'!$A$3:$F$9,3,FALSE),(IF($B$4&lt;500000,VLOOKUP(2,'Modal Split'!$A$3:$F$9,3,FALSE),VLOOKUP(1,'Modal Split'!$A$3:$F$9,3,FALSE)))))))))))))*(IF($B$4&lt;2000,VLOOKUP(7,Wegelängen!$A$3:$I$9,9,FALSE),(IF($B$4&lt;5000,VLOOKUP(6,Wegelängen!$A$3:$I$9,9,FALSE),(IF($B$4&lt;20000,VLOOKUP(5,Wegelängen!$A$3:$I$9,9,FALSE),(IF($B$4&lt;50000,VLOOKUP(4,Wegelängen!$A$3:$I$9,9,FALSE),(IF($B$4&lt;100000,VLOOKUP(3,Wegelängen!$A$3:$I$9,9,FALSE),(IF($B$4&lt;500000,VLOOKUP(2,Wegelängen!$A$3:$I$9,9,FALSE),VLOOKUP(1,Wegelängen!$A$3:$I$9,9,FALSE)))))))))))))*(IF($B$4&lt;2000,VLOOKUP(7,Wegelängen!$A$3:$I$9,5,FALSE),(IF($B$4&lt;5000,VLOOKUP(6,Wegelängen!$A$3:$I$9,5,FALSE),(IF($B$4&lt;20000,VLOOKUP(5,Wegelängen!$A$3:$I$9,5,FALSE),(IF($B$4&lt;50000,VLOOKUP(4,Wegelängen!$A$3:$I$9,5,FALSE),(IF($B$4&lt;100000,VLOOKUP(3,Wegelängen!$A$3:$I$9,5,FALSE),(IF($B$4&lt;500000,VLOOKUP(2,Wegelängen!$A$3:$I$9,5,FALSE),VLOOKUP(1,Wegelängen!$A$3:$I$9,5,FALSE)))))))))))))*$B$4/100)+((IF($B$4&lt;2000,VLOOKUP(7,'Modal Split'!$A$3:$F$9,4,FALSE),(IF($B$4&lt;5000,VLOOKUP(6,'Modal Split'!$A$3:$F$9,4,FALSE),(IF($B$4&lt;20000,VLOOKUP(5,'Modal Split'!$A$3:$F$9,4,FALSE),(IF($B$4&lt;50000,VLOOKUP(4,'Modal Split'!$A$3:$F$9,4,FALSE),(IF($B$4&lt;100000,VLOOKUP(3,'Modal Split'!$A$3:$F$9,4,FALSE),(IF($B$4&lt;500000,VLOOKUP(2,'Modal Split'!$A$3:$F$9,4,FALSE),VLOOKUP(1,'Modal Split'!$A$3:$F$9,4,FALSE)))))))))))))*(IF($B$4&lt;2000,VLOOKUP(7,Wegelängen!$A$3:$I$9,9,FALSE),(IF($B$4&lt;5000,VLOOKUP(6,Wegelängen!$A$3:$I$9,9,FALSE),(IF($B$4&lt;20000,VLOOKUP(5,Wegelängen!$A$3:$I$9,9,FALSE),(IF($B$4&lt;50000,VLOOKUP(4,Wegelängen!$A$3:$I$9,9,FALSE),(IF($B$4&lt;100000,VLOOKUP(3,Wegelängen!$A$3:$I$9,9,FALSE),(IF($B$4&lt;500000,VLOOKUP(2,Wegelängen!$A$3:$I$9,9,FALSE),VLOOKUP(1,Wegelängen!$A$3:$I$9,9,FALSE)))))))))))))*(IF($B$4&lt;2000,VLOOKUP(7,Wegelängen!$A$3:$I$9,6,FALSE),(IF($B$4&lt;5000,VLOOKUP(6,Wegelängen!$A$3:$I$9,6,FALSE),(IF($B$4&lt;20000,VLOOKUP(5,Wegelängen!$A$3:$I$9,6,FALSE),(IF($B$4&lt;50000,VLOOKUP(4,Wegelängen!$A$3:$I$9,6,FALSE),(IF($B$4&lt;100000,VLOOKUP(3,Wegelängen!$A$3:$I$9,6,FALSE),(IF($B$4&lt;500000,VLOOKUP(2,Wegelängen!$A$3:$I$9,6,FALSE),VLOOKUP(1,Wegelängen!$A$3:$I$9,6,FALSE)))))))))))))*$B$4/100)+((IF($B$4&lt;2000,VLOOKUP(7,'Modal Split'!$A$3:$F$9,5,FALSE),(IF($B$4&lt;5000,VLOOKUP(6,'Modal Split'!$A$3:$F$9,5,FALSE),(IF($B$4&lt;20000,VLOOKUP(5,'Modal Split'!$A$3:$F$9,5,FALSE),(IF($B$4&lt;50000,VLOOKUP(4,'Modal Split'!$A$3:$F$9,5,FALSE),(IF($B$4&lt;100000,VLOOKUP(3,'Modal Split'!$A$3:$F$9,5,FALSE),(IF($B$4&lt;500000,VLOOKUP(2,'Modal Split'!$A$3:$F$9,5,FALSE),VLOOKUP(1,'Modal Split'!$A$3:$F$9,5,FALSE)))))))))))))*(IF($B$4&lt;2000,VLOOKUP(7,Wegelängen!$A$3:$I$9,9,FALSE),(IF($B$4&lt;5000,VLOOKUP(6,Wegelängen!$A$3:$I$9,9,FALSE),(IF($B$4&lt;20000,VLOOKUP(5,Wegelängen!$A$3:$I$9,9,FALSE),(IF($B$4&lt;50000,VLOOKUP(4,Wegelängen!$A$3:$I$9,9,FALSE),(IF($B$4&lt;100000,VLOOKUP(3,Wegelängen!$A$3:$I$9,9,FALSE),(IF($B$4&lt;500000,VLOOKUP(2,Wegelängen!$A$3:$I$9,9,FALSE),VLOOKUP(1,Wegelängen!$A$3:$I$9,9,FALSE)))))))))))))*(IF($B$4&lt;2000,VLOOKUP(7,Wegelängen!$A$3:$I$9,7,FALSE),(IF($B$4&lt;5000,VLOOKUP(6,Wegelängen!$A$3:$I$9,7,FALSE),(IF($B$4&lt;20000,VLOOKUP(5,Wegelängen!$A$3:$I$9,7,FALSE),(IF($B$4&lt;50000,VLOOKUP(4,Wegelängen!$A$3:$I$9,7,FALSE),(IF($B$4&lt;100000,VLOOKUP(3,Wegelängen!$A$3:$I$9,7,FALSE),(IF($B$4&lt;500000,VLOOKUP(2,Wegelängen!$A$3:$I$9,7,FALSE),VLOOKUP(1,Wegelängen!$A$3:$I$9,7,FALSE)))))))))))))*$B$4/100)+((IF($B$4&lt;2000,VLOOKUP(7,'Modal Split'!$A$3:$F$9,6,FALSE),(IF($B$4&lt;5000,VLOOKUP(6,'Modal Split'!$A$3:$F$9,6,FALSE),(IF($B$4&lt;20000,VLOOKUP(5,'Modal Split'!$A$3:$F$9,6,FALSE),(IF($B$4&lt;50000,VLOOKUP(4,'Modal Split'!$A$3:$F$9,6,FALSE),(IF($B$4&lt;100000,VLOOKUP(3,'Modal Split'!$A$3:$F$9,6,FALSE),(IF($B$4&lt;500000,VLOOKUP(2,'Modal Split'!$A$3:$F$9,6,FALSE),VLOOKUP(1,'Modal Split'!$A$3:$F$9,6,FALSE)))))))))))))*(IF($B$4&lt;2000,VLOOKUP(7,Wegelängen!$A$3:$I$9,9,FALSE),(IF($B$4&lt;5000,VLOOKUP(6,Wegelängen!$A$3:$I$9,9,FALSE),(IF($B$4&lt;20000,VLOOKUP(5,Wegelängen!$A$3:$I$9,9,FALSE),(IF($B$4&lt;50000,VLOOKUP(4,Wegelängen!$A$3:$I$9,9,FALSE),(IF($B$4&lt;100000,VLOOKUP(3,Wegelängen!$A$3:$I$9,9,FALSE),(IF($B$4&lt;500000,VLOOKUP(2,Wegelängen!$A$3:$I$9,9,FALSE),VLOOKUP(1,Wegelängen!$A$3:$I$9,9,FALSE)))))))))))))*(IF($B$4&lt;2000,VLOOKUP(7,Wegelängen!$A$3:$I$9,8,FALSE),(IF($B$4&lt;5000,VLOOKUP(6,Wegelängen!$A$3:$I$9,8,FALSE),(IF($B$4&lt;20000,VLOOKUP(5,Wegelängen!$A$3:$I$9,8,FALSE),(IF($B$4&lt;50000,VLOOKUP(4,Wegelängen!$A$3:$I$9,8,FALSE),(IF($B$4&lt;100000,VLOOKUP(3,Wegelängen!$A$3:$I$9,8,FALSE),(IF($B$4&lt;500000,VLOOKUP(2,Wegelängen!$A$3:$I$9,8,FALSE),VLOOKUP(1,Wegelängen!$A$3:$I$9,8,FALSE)))))))))))))*$B$4/100)</f>
        <v>806875.31956257601</v>
      </c>
      <c r="C39" s="2"/>
      <c r="D39" s="2"/>
      <c r="E39" s="2"/>
      <c r="F39" s="2"/>
    </row>
    <row r="40" spans="1:7">
      <c r="B40" t="s">
        <v>17</v>
      </c>
      <c r="C40" t="s">
        <v>18</v>
      </c>
      <c r="D40" t="s">
        <v>19</v>
      </c>
      <c r="E40" t="s">
        <v>33</v>
      </c>
      <c r="F40" t="s">
        <v>34</v>
      </c>
    </row>
    <row r="41" spans="1:7">
      <c r="A41" t="s">
        <v>38</v>
      </c>
      <c r="B41" s="6">
        <f>$B$4*$B$22*B16*B13/100</f>
        <v>20910.080194410693</v>
      </c>
      <c r="C41" s="6">
        <f t="shared" ref="C41:F41" si="1">$B$4*$B$22*C16*C13/100</f>
        <v>26223.513973268535</v>
      </c>
      <c r="D41" s="6">
        <f t="shared" si="1"/>
        <v>83052.142162818971</v>
      </c>
      <c r="E41" s="6">
        <f t="shared" si="1"/>
        <v>521251.81895504252</v>
      </c>
      <c r="F41" s="6">
        <f t="shared" si="1"/>
        <v>155437.76427703525</v>
      </c>
      <c r="G41" s="6"/>
    </row>
    <row r="42" spans="1:7">
      <c r="A42" t="s">
        <v>39</v>
      </c>
      <c r="B42" s="6">
        <f>(IF($B$4&lt;2000,VLOOKUP(7,'Modal Split'!$A$3:$F$9,2,FALSE),(IF($B$4&lt;5000,VLOOKUP(6,'Modal Split'!$A$3:$F$9,2,FALSE),(IF($B$4&lt;20000,VLOOKUP(5,'Modal Split'!$A$3:$F$9,2,FALSE),(IF($B$4&lt;50000,VLOOKUP(4,'Modal Split'!$A$3:$F$9,2,FALSE),(IF($B$4&lt;100000,VLOOKUP(3,'Modal Split'!$A$3:$F$9,2,FALSE),(IF($B$4&lt;500000,VLOOKUP(2,'Modal Split'!$A$3:$F$9,2,FALSE),VLOOKUP(1,'Modal Split'!$A$3:$F$9,2,FALSE)))))))))))))*(IF($B$4&lt;2000,VLOOKUP(7,Wegelängen!$A$3:$I$9,9,FALSE),(IF($B$4&lt;5000,VLOOKUP(6,Wegelängen!$A$3:$I$9,9,FALSE),(IF($B$4&lt;20000,VLOOKUP(5,Wegelängen!$A$3:$I$9,9,FALSE),(IF($B$4&lt;50000,VLOOKUP(4,Wegelängen!$A$3:$I$9,9,FALSE),(IF($B$4&lt;100000,VLOOKUP(3,Wegelängen!$A$3:$I$9,9,FALSE),(IF($B$4&lt;500000,VLOOKUP(2,Wegelängen!$A$3:$I$9,9,FALSE),VLOOKUP(1,Wegelängen!$A$3:$I$9,9,FALSE)))))))))))))*(IF($B$4&lt;2000,VLOOKUP(7,Wegelängen!$A$3:$I$9,4,FALSE),(IF($B$4&lt;5000,VLOOKUP(6,Wegelängen!$A$3:$I$9,4,FALSE),(IF($B$4&lt;20000,VLOOKUP(5,Wegelängen!$A$3:$I$9,4,FALSE),(IF($B$4&lt;50000,VLOOKUP(4,Wegelängen!$A$3:$I$9,4,FALSE),(IF($B$4&lt;100000,VLOOKUP(3,Wegelängen!$A$3:$I$9,4,FALSE),(IF($B$4&lt;500000,VLOOKUP(2,Wegelängen!$A$3:$I$9,4,FALSE),VLOOKUP(1,Wegelängen!$A$3:$I$9,4,FALSE)))))))))))))*$B$4/100</f>
        <v>20910.080194410697</v>
      </c>
      <c r="C42" s="6">
        <f>(IF($B$4&lt;2000,VLOOKUP(7,'Modal Split'!$A$3:$F$9,3,FALSE),(IF($B$4&lt;5000,VLOOKUP(6,'Modal Split'!$A$3:$F$9,3,FALSE),(IF($B$4&lt;20000,VLOOKUP(5,'Modal Split'!$A$3:$F$9,3,FALSE),(IF($B$4&lt;50000,VLOOKUP(4,'Modal Split'!$A$3:$F$9,3,FALSE),(IF($B$4&lt;100000,VLOOKUP(3,'Modal Split'!$A$3:$F$9,3,FALSE),(IF($B$4&lt;500000,VLOOKUP(2,'Modal Split'!$A$3:$F$9,3,FALSE),VLOOKUP(1,'Modal Split'!$A$3:$F$9,3,FALSE)))))))))))))*(IF($B$4&lt;2000,VLOOKUP(7,Wegelängen!$A$3:$I$9,9,FALSE),(IF($B$4&lt;5000,VLOOKUP(6,Wegelängen!$A$3:$I$9,9,FALSE),(IF($B$4&lt;20000,VLOOKUP(5,Wegelängen!$A$3:$I$9,9,FALSE),(IF($B$4&lt;50000,VLOOKUP(4,Wegelängen!$A$3:$I$9,9,FALSE),(IF($B$4&lt;100000,VLOOKUP(3,Wegelängen!$A$3:$I$9,9,FALSE),(IF($B$4&lt;500000,VLOOKUP(2,Wegelängen!$A$3:$I$9,9,FALSE),VLOOKUP(1,Wegelängen!$A$3:$I$9,9,FALSE)))))))))))))*(IF($B$4&lt;2000,VLOOKUP(7,Wegelängen!$A$3:$I$9,5,FALSE),(IF($B$4&lt;5000,VLOOKUP(6,Wegelängen!$A$3:$I$9,5,FALSE),(IF($B$4&lt;20000,VLOOKUP(5,Wegelängen!$A$3:$I$9,5,FALSE),(IF($B$4&lt;50000,VLOOKUP(4,Wegelängen!$A$3:$I$9,5,FALSE),(IF($B$4&lt;100000,VLOOKUP(3,Wegelängen!$A$3:$I$9,5,FALSE),(IF($B$4&lt;500000,VLOOKUP(2,Wegelängen!$A$3:$I$9,5,FALSE),VLOOKUP(1,Wegelängen!$A$3:$I$9,5,FALSE)))))))))))))*$B$4/100</f>
        <v>26223.513973268531</v>
      </c>
      <c r="D42" s="6">
        <f>(IF($B$4&lt;2000,VLOOKUP(7,'Modal Split'!$A$3:$F$9,4,FALSE),(IF($B$4&lt;5000,VLOOKUP(6,'Modal Split'!$A$3:$F$9,4,FALSE),(IF($B$4&lt;20000,VLOOKUP(5,'Modal Split'!$A$3:$F$9,4,FALSE),(IF($B$4&lt;50000,VLOOKUP(4,'Modal Split'!$A$3:$F$9,4,FALSE),(IF($B$4&lt;100000,VLOOKUP(3,'Modal Split'!$A$3:$F$9,4,FALSE),(IF($B$4&lt;500000,VLOOKUP(2,'Modal Split'!$A$3:$F$9,4,FALSE),VLOOKUP(1,'Modal Split'!$A$3:$F$9,4,FALSE)))))))))))))*(IF($B$4&lt;2000,VLOOKUP(7,Wegelängen!$A$3:$I$9,9,FALSE),(IF($B$4&lt;5000,VLOOKUP(6,Wegelängen!$A$3:$I$9,9,FALSE),(IF($B$4&lt;20000,VLOOKUP(5,Wegelängen!$A$3:$I$9,9,FALSE),(IF($B$4&lt;50000,VLOOKUP(4,Wegelängen!$A$3:$I$9,9,FALSE),(IF($B$4&lt;100000,VLOOKUP(3,Wegelängen!$A$3:$I$9,9,FALSE),(IF($B$4&lt;500000,VLOOKUP(2,Wegelängen!$A$3:$I$9,9,FALSE),VLOOKUP(1,Wegelängen!$A$3:$I$9,9,FALSE)))))))))))))*(IF($B$4&lt;2000,VLOOKUP(7,Wegelängen!$A$3:$I$9,6,FALSE),(IF($B$4&lt;5000,VLOOKUP(6,Wegelängen!$A$3:$I$9,6,FALSE),(IF($B$4&lt;20000,VLOOKUP(5,Wegelängen!$A$3:$I$9,6,FALSE),(IF($B$4&lt;50000,VLOOKUP(4,Wegelängen!$A$3:$I$9,6,FALSE),(IF($B$4&lt;100000,VLOOKUP(3,Wegelängen!$A$3:$I$9,6,FALSE),(IF($B$4&lt;500000,VLOOKUP(2,Wegelängen!$A$3:$I$9,6,FALSE),VLOOKUP(1,Wegelängen!$A$3:$I$9,6,FALSE)))))))))))))*$B$4/100</f>
        <v>83052.142162818971</v>
      </c>
      <c r="E42" s="6">
        <f>(IF($B$4&lt;2000,VLOOKUP(7,'Modal Split'!$A$3:$F$9,5,FALSE),(IF($B$4&lt;5000,VLOOKUP(6,'Modal Split'!$A$3:$F$9,5,FALSE),(IF($B$4&lt;20000,VLOOKUP(5,'Modal Split'!$A$3:$F$9,5,FALSE),(IF($B$4&lt;50000,VLOOKUP(4,'Modal Split'!$A$3:$F$9,5,FALSE),(IF($B$4&lt;100000,VLOOKUP(3,'Modal Split'!$A$3:$F$9,5,FALSE),(IF($B$4&lt;500000,VLOOKUP(2,'Modal Split'!$A$3:$F$9,5,FALSE),VLOOKUP(1,'Modal Split'!$A$3:$F$9,5,FALSE)))))))))))))*(IF($B$4&lt;2000,VLOOKUP(7,Wegelängen!$A$3:$I$9,9,FALSE),(IF($B$4&lt;5000,VLOOKUP(6,Wegelängen!$A$3:$I$9,9,FALSE),(IF($B$4&lt;20000,VLOOKUP(5,Wegelängen!$A$3:$I$9,9,FALSE),(IF($B$4&lt;50000,VLOOKUP(4,Wegelängen!$A$3:$I$9,9,FALSE),(IF($B$4&lt;100000,VLOOKUP(3,Wegelängen!$A$3:$I$9,9,FALSE),(IF($B$4&lt;500000,VLOOKUP(2,Wegelängen!$A$3:$I$9,9,FALSE),VLOOKUP(1,Wegelängen!$A$3:$I$9,9,FALSE)))))))))))))*(IF($B$4&lt;2000,VLOOKUP(7,Wegelängen!$A$3:$I$9,7,FALSE),(IF($B$4&lt;5000,VLOOKUP(6,Wegelängen!$A$3:$I$9,7,FALSE),(IF($B$4&lt;20000,VLOOKUP(5,Wegelängen!$A$3:$I$9,7,FALSE),(IF($B$4&lt;50000,VLOOKUP(4,Wegelängen!$A$3:$I$9,7,FALSE),(IF($B$4&lt;100000,VLOOKUP(3,Wegelängen!$A$3:$I$9,7,FALSE),(IF($B$4&lt;500000,VLOOKUP(2,Wegelängen!$A$3:$I$9,7,FALSE),VLOOKUP(1,Wegelängen!$A$3:$I$9,7,FALSE)))))))))))))*$B$4/100</f>
        <v>521251.81895504257</v>
      </c>
      <c r="F42" s="6">
        <f>(IF($B$4&lt;2000,VLOOKUP(7,'Modal Split'!$A$3:$F$9,6,FALSE),(IF($B$4&lt;5000,VLOOKUP(6,'Modal Split'!$A$3:$F$9,6,FALSE),(IF($B$4&lt;20000,VLOOKUP(5,'Modal Split'!$A$3:$F$9,6,FALSE),(IF($B$4&lt;50000,VLOOKUP(4,'Modal Split'!$A$3:$F$9,6,FALSE),(IF($B$4&lt;100000,VLOOKUP(3,'Modal Split'!$A$3:$F$9,6,FALSE),(IF($B$4&lt;500000,VLOOKUP(2,'Modal Split'!$A$3:$F$9,6,FALSE),VLOOKUP(1,'Modal Split'!$A$3:$F$9,6,FALSE)))))))))))))*(IF($B$4&lt;2000,VLOOKUP(7,Wegelängen!$A$3:$I$9,9,FALSE),(IF($B$4&lt;5000,VLOOKUP(6,Wegelängen!$A$3:$I$9,9,FALSE),(IF($B$4&lt;20000,VLOOKUP(5,Wegelängen!$A$3:$I$9,9,FALSE),(IF($B$4&lt;50000,VLOOKUP(4,Wegelängen!$A$3:$I$9,9,FALSE),(IF($B$4&lt;100000,VLOOKUP(3,Wegelängen!$A$3:$I$9,9,FALSE),(IF($B$4&lt;500000,VLOOKUP(2,Wegelängen!$A$3:$I$9,9,FALSE),VLOOKUP(1,Wegelängen!$A$3:$I$9,9,FALSE)))))))))))))*(IF($B$4&lt;2000,VLOOKUP(7,Wegelängen!$A$3:$I$9,8,FALSE),(IF($B$4&lt;5000,VLOOKUP(6,Wegelängen!$A$3:$I$9,8,FALSE),(IF($B$4&lt;20000,VLOOKUP(5,Wegelängen!$A$3:$I$9,8,FALSE),(IF($B$4&lt;50000,VLOOKUP(4,Wegelängen!$A$3:$I$9,8,FALSE),(IF($B$4&lt;100000,VLOOKUP(3,Wegelängen!$A$3:$I$9,8,FALSE),(IF($B$4&lt;500000,VLOOKUP(2,Wegelängen!$A$3:$I$9,8,FALSE),VLOOKUP(1,Wegelängen!$A$3:$I$9,8,FALSE)))))))))))))*$B$4/100</f>
        <v>155437.76427703525</v>
      </c>
    </row>
    <row r="44" spans="1:7">
      <c r="A44" t="s">
        <v>32</v>
      </c>
    </row>
    <row r="45" spans="1:7">
      <c r="B45" s="194" t="s">
        <v>44</v>
      </c>
      <c r="C45" s="194"/>
      <c r="D45" s="194"/>
      <c r="E45" s="194"/>
      <c r="F45" s="194"/>
    </row>
    <row r="46" spans="1:7" ht="105.75" customHeight="1">
      <c r="B46" s="185" t="s">
        <v>52</v>
      </c>
      <c r="C46" s="185"/>
      <c r="D46" s="185"/>
      <c r="E46" s="185"/>
      <c r="F46" s="185"/>
    </row>
    <row r="47" spans="1:7">
      <c r="B47" t="s">
        <v>17</v>
      </c>
      <c r="C47" t="s">
        <v>18</v>
      </c>
      <c r="D47" t="s">
        <v>19</v>
      </c>
      <c r="E47" t="s">
        <v>33</v>
      </c>
      <c r="F47" t="s">
        <v>34</v>
      </c>
    </row>
    <row r="48" spans="1:7">
      <c r="A48" t="s">
        <v>38</v>
      </c>
      <c r="B48" s="6">
        <f>(($B$4*$B$22*B16*B13/100)*B19)/1000000</f>
        <v>0</v>
      </c>
      <c r="C48" s="6">
        <f t="shared" ref="C48:F48" si="2">(($B$4*$B$22*C16*C13/100)*C19)/1000000</f>
        <v>0</v>
      </c>
      <c r="D48" s="3">
        <f t="shared" si="2"/>
        <v>6.0904904252733907</v>
      </c>
      <c r="E48" s="3">
        <f t="shared" si="2"/>
        <v>106.6481221582017</v>
      </c>
      <c r="F48" s="3">
        <f t="shared" si="2"/>
        <v>1.711058909161604</v>
      </c>
    </row>
    <row r="49" spans="1:6">
      <c r="A49" t="s">
        <v>39</v>
      </c>
      <c r="B49" s="6">
        <f>(IF($B$4&lt;2000,VLOOKUP(7,'Modal Split'!$A$3:$F$9,2,FALSE),(IF($B$4&lt;5000,VLOOKUP(6,'Modal Split'!$A$3:$F$9,2,FALSE),(IF($B$4&lt;20000,VLOOKUP(5,'Modal Split'!$A$3:$F$9,2,FALSE),(IF($B$4&lt;50000,VLOOKUP(4,'Modal Split'!$A$3:$F$9,2,FALSE),(IF($B$4&lt;100000,VLOOKUP(3,'Modal Split'!$A$3:$F$9,2,FALSE),(IF($B$4&lt;500000,VLOOKUP(2,'Modal Split'!$A$3:$F$9,2,FALSE),VLOOKUP(1,'Modal Split'!$A$3:$F$9,2,FALSE)))))))))))))*(IF($B$4&lt;2000,VLOOKUP(7,Wegelängen!$A$3:$I$9,9,FALSE),(IF($B$4&lt;5000,VLOOKUP(6,Wegelängen!$A$3:$I$9,9,FALSE),(IF($B$4&lt;20000,VLOOKUP(5,Wegelängen!$A$3:$I$9,9,FALSE),(IF($B$4&lt;50000,VLOOKUP(4,Wegelängen!$A$3:$I$9,9,FALSE),(IF($B$4&lt;100000,VLOOKUP(3,Wegelängen!$A$3:$I$9,9,FALSE),(IF($B$4&lt;500000,VLOOKUP(2,Wegelängen!$A$3:$I$9,9,FALSE),VLOOKUP(1,Wegelängen!$A$3:$I$9,9,FALSE)))))))))))))*(IF($B$4&lt;2000,VLOOKUP(7,Wegelängen!$A$3:$I$9,4,FALSE),(IF($B$4&lt;5000,VLOOKUP(6,Wegelängen!$A$3:$I$9,4,FALSE),(IF($B$4&lt;20000,VLOOKUP(5,Wegelängen!$A$3:$I$9,4,FALSE),(IF($B$4&lt;50000,VLOOKUP(4,Wegelängen!$A$3:$I$9,4,FALSE),(IF($B$4&lt;100000,VLOOKUP(3,Wegelängen!$A$3:$I$9,4,FALSE),(IF($B$4&lt;500000,VLOOKUP(2,Wegelängen!$A$3:$I$9,4,FALSE),VLOOKUP(1,Wegelängen!$A$3:$I$9,4,FALSE)))))))))))))*$B$4/100*'CO2'!B2/1000000</f>
        <v>0</v>
      </c>
      <c r="C49" s="6">
        <f>(IF($B$4&lt;2000,VLOOKUP(7,'Modal Split'!$A$3:$F$9,3,FALSE),(IF($B$4&lt;5000,VLOOKUP(6,'Modal Split'!$A$3:$F$9,3,FALSE),(IF($B$4&lt;20000,VLOOKUP(5,'Modal Split'!$A$3:$F$9,3,FALSE),(IF($B$4&lt;50000,VLOOKUP(4,'Modal Split'!$A$3:$F$9,3,FALSE),(IF($B$4&lt;100000,VLOOKUP(3,'Modal Split'!$A$3:$F$9,3,FALSE),(IF($B$4&lt;500000,VLOOKUP(2,'Modal Split'!$A$3:$F$9,3,FALSE),VLOOKUP(1,'Modal Split'!$A$3:$F$9,3,FALSE)))))))))))))*(IF($B$4&lt;2000,VLOOKUP(7,Wegelängen!$A$3:$I$9,9,FALSE),(IF($B$4&lt;5000,VLOOKUP(6,Wegelängen!$A$3:$I$9,9,FALSE),(IF($B$4&lt;20000,VLOOKUP(5,Wegelängen!$A$3:$I$9,9,FALSE),(IF($B$4&lt;50000,VLOOKUP(4,Wegelängen!$A$3:$I$9,9,FALSE),(IF($B$4&lt;100000,VLOOKUP(3,Wegelängen!$A$3:$I$9,9,FALSE),(IF($B$4&lt;500000,VLOOKUP(2,Wegelängen!$A$3:$I$9,9,FALSE),VLOOKUP(1,Wegelängen!$A$3:$I$9,9,FALSE)))))))))))))*(IF($B$4&lt;2000,VLOOKUP(7,Wegelängen!$A$3:$I$9,5,FALSE),(IF($B$4&lt;5000,VLOOKUP(6,Wegelängen!$A$3:$I$9,5,FALSE),(IF($B$4&lt;20000,VLOOKUP(5,Wegelängen!$A$3:$I$9,5,FALSE),(IF($B$4&lt;50000,VLOOKUP(4,Wegelängen!$A$3:$I$9,5,FALSE),(IF($B$4&lt;100000,VLOOKUP(3,Wegelängen!$A$3:$I$9,5,FALSE),(IF($B$4&lt;500000,VLOOKUP(2,Wegelängen!$A$3:$I$9,5,FALSE),VLOOKUP(1,Wegelängen!$A$3:$I$9,5,FALSE)))))))))))))*$B$4/100*'CO2'!B3/1000000</f>
        <v>0</v>
      </c>
      <c r="D49" s="3">
        <f>(IF($B$4&lt;2000,VLOOKUP(7,'Modal Split'!$A$3:$F$9,4,FALSE),(IF($B$4&lt;5000,VLOOKUP(6,'Modal Split'!$A$3:$F$9,4,FALSE),(IF($B$4&lt;20000,VLOOKUP(5,'Modal Split'!$A$3:$F$9,4,FALSE),(IF($B$4&lt;50000,VLOOKUP(4,'Modal Split'!$A$3:$F$9,4,FALSE),(IF($B$4&lt;100000,VLOOKUP(3,'Modal Split'!$A$3:$F$9,4,FALSE),(IF($B$4&lt;500000,VLOOKUP(2,'Modal Split'!$A$3:$F$9,4,FALSE),VLOOKUP(1,'Modal Split'!$A$3:$F$9,4,FALSE)))))))))))))*(IF($B$4&lt;2000,VLOOKUP(7,Wegelängen!$A$3:$I$9,9,FALSE),(IF($B$4&lt;5000,VLOOKUP(6,Wegelängen!$A$3:$I$9,9,FALSE),(IF($B$4&lt;20000,VLOOKUP(5,Wegelängen!$A$3:$I$9,9,FALSE),(IF($B$4&lt;50000,VLOOKUP(4,Wegelängen!$A$3:$I$9,9,FALSE),(IF($B$4&lt;100000,VLOOKUP(3,Wegelängen!$A$3:$I$9,9,FALSE),(IF($B$4&lt;500000,VLOOKUP(2,Wegelängen!$A$3:$I$9,9,FALSE),VLOOKUP(1,Wegelängen!$A$3:$I$9,9,FALSE)))))))))))))*(IF($B$4&lt;2000,VLOOKUP(7,Wegelängen!$A$3:$I$9,6,FALSE),(IF($B$4&lt;5000,VLOOKUP(6,Wegelängen!$A$3:$I$9,6,FALSE),(IF($B$4&lt;20000,VLOOKUP(5,Wegelängen!$A$3:$I$9,6,FALSE),(IF($B$4&lt;50000,VLOOKUP(4,Wegelängen!$A$3:$I$9,6,FALSE),(IF($B$4&lt;100000,VLOOKUP(3,Wegelängen!$A$3:$I$9,6,FALSE),(IF($B$4&lt;500000,VLOOKUP(2,Wegelängen!$A$3:$I$9,6,FALSE),VLOOKUP(1,Wegelängen!$A$3:$I$9,6,FALSE)))))))))))))*$B$4/100*'CO2'!B4/1000000</f>
        <v>6.0904904252733907</v>
      </c>
      <c r="E49" s="3">
        <f>(IF($B$4&lt;2000,VLOOKUP(7,'Modal Split'!$A$3:$F$9,5,FALSE),(IF($B$4&lt;5000,VLOOKUP(6,'Modal Split'!$A$3:$F$9,5,FALSE),(IF($B$4&lt;20000,VLOOKUP(5,'Modal Split'!$A$3:$F$9,5,FALSE),(IF($B$4&lt;50000,VLOOKUP(4,'Modal Split'!$A$3:$F$9,5,FALSE),(IF($B$4&lt;100000,VLOOKUP(3,'Modal Split'!$A$3:$F$9,5,FALSE),(IF($B$4&lt;500000,VLOOKUP(2,'Modal Split'!$A$3:$F$9,5,FALSE),VLOOKUP(1,'Modal Split'!$A$3:$F$9,5,FALSE)))))))))))))*(IF($B$4&lt;2000,VLOOKUP(7,Wegelängen!$A$3:$I$9,9,FALSE),(IF($B$4&lt;5000,VLOOKUP(6,Wegelängen!$A$3:$I$9,9,FALSE),(IF($B$4&lt;20000,VLOOKUP(5,Wegelängen!$A$3:$I$9,9,FALSE),(IF($B$4&lt;50000,VLOOKUP(4,Wegelängen!$A$3:$I$9,9,FALSE),(IF($B$4&lt;100000,VLOOKUP(3,Wegelängen!$A$3:$I$9,9,FALSE),(IF($B$4&lt;500000,VLOOKUP(2,Wegelängen!$A$3:$I$9,9,FALSE),VLOOKUP(1,Wegelängen!$A$3:$I$9,9,FALSE)))))))))))))*(IF($B$4&lt;2000,VLOOKUP(7,Wegelängen!$A$3:$I$9,7,FALSE),(IF($B$4&lt;5000,VLOOKUP(6,Wegelängen!$A$3:$I$9,7,FALSE),(IF($B$4&lt;20000,VLOOKUP(5,Wegelängen!$A$3:$I$9,7,FALSE),(IF($B$4&lt;50000,VLOOKUP(4,Wegelängen!$A$3:$I$9,7,FALSE),(IF($B$4&lt;100000,VLOOKUP(3,Wegelängen!$A$3:$I$9,7,FALSE),(IF($B$4&lt;500000,VLOOKUP(2,Wegelängen!$A$3:$I$9,7,FALSE),VLOOKUP(1,Wegelängen!$A$3:$I$9,7,FALSE)))))))))))))*$B$4/100*'CO2'!B5/1000000</f>
        <v>106.64812215820172</v>
      </c>
      <c r="F49" s="3">
        <f>(IF($B$4&lt;2000,VLOOKUP(7,'Modal Split'!$A$3:$F$9,6,FALSE),(IF($B$4&lt;5000,VLOOKUP(6,'Modal Split'!$A$3:$F$9,6,FALSE),(IF($B$4&lt;20000,VLOOKUP(5,'Modal Split'!$A$3:$F$9,6,FALSE),(IF($B$4&lt;50000,VLOOKUP(4,'Modal Split'!$A$3:$F$9,6,FALSE),(IF($B$4&lt;100000,VLOOKUP(3,'Modal Split'!$A$3:$F$9,6,FALSE),(IF($B$4&lt;500000,VLOOKUP(2,'Modal Split'!$A$3:$F$9,6,FALSE),VLOOKUP(1,'Modal Split'!$A$3:$F$9,6,FALSE)))))))))))))*(IF($B$4&lt;2000,VLOOKUP(7,Wegelängen!$A$3:$I$9,9,FALSE),(IF($B$4&lt;5000,VLOOKUP(6,Wegelängen!$A$3:$I$9,9,FALSE),(IF($B$4&lt;20000,VLOOKUP(5,Wegelängen!$A$3:$I$9,9,FALSE),(IF($B$4&lt;50000,VLOOKUP(4,Wegelängen!$A$3:$I$9,9,FALSE),(IF($B$4&lt;100000,VLOOKUP(3,Wegelängen!$A$3:$I$9,9,FALSE),(IF($B$4&lt;500000,VLOOKUP(2,Wegelängen!$A$3:$I$9,9,FALSE),VLOOKUP(1,Wegelängen!$A$3:$I$9,9,FALSE)))))))))))))*(IF($B$4&lt;2000,VLOOKUP(7,Wegelängen!$A$3:$I$9,8,FALSE),(IF($B$4&lt;5000,VLOOKUP(6,Wegelängen!$A$3:$I$9,8,FALSE),(IF($B$4&lt;20000,VLOOKUP(5,Wegelängen!$A$3:$I$9,8,FALSE),(IF($B$4&lt;50000,VLOOKUP(4,Wegelängen!$A$3:$I$9,8,FALSE),(IF($B$4&lt;100000,VLOOKUP(3,Wegelängen!$A$3:$I$9,8,FALSE),(IF($B$4&lt;500000,VLOOKUP(2,Wegelängen!$A$3:$I$9,8,FALSE),VLOOKUP(1,Wegelängen!$A$3:$I$9,8,FALSE)))))))))))))*$B$4/100*'CO2'!B6/1000000</f>
        <v>1.711058909161604</v>
      </c>
    </row>
    <row r="50" spans="1:6">
      <c r="B50" s="194" t="s">
        <v>53</v>
      </c>
      <c r="C50" s="194"/>
      <c r="D50" s="194"/>
      <c r="E50" s="194"/>
      <c r="F50" s="194"/>
    </row>
    <row r="51" spans="1:6">
      <c r="A51" t="s">
        <v>38</v>
      </c>
      <c r="B51" s="6">
        <f>(B16*B19)/1000</f>
        <v>0</v>
      </c>
      <c r="C51" s="6">
        <f t="shared" ref="C51:F51" si="3">(C16*C19)/1000</f>
        <v>0</v>
      </c>
      <c r="D51" s="3">
        <f t="shared" si="3"/>
        <v>1.4746950182260026</v>
      </c>
      <c r="E51" s="3">
        <f t="shared" si="3"/>
        <v>3.5349062697448357</v>
      </c>
      <c r="F51" s="3">
        <f t="shared" si="3"/>
        <v>0.15277311688942891</v>
      </c>
    </row>
    <row r="52" spans="1:6">
      <c r="A52" t="s">
        <v>39</v>
      </c>
      <c r="B52" s="3">
        <f>IF($B$4&lt;2000,VLOOKUP(7,Wegelängen!$A$3:$I$9,4,FALSE),(IF($B$4&lt;5000,VLOOKUP(6,Wegelängen!$A$3:$I$9,4,FALSE),(IF($B$4&lt;20000,VLOOKUP(5,Wegelängen!$A$3:$I$9,4,FALSE),(IF($B$4&lt;50000,VLOOKUP(4,Wegelängen!$A$3:$I$9,4,FALSE),(IF($B$4&lt;100000,VLOOKUP(3,Wegelängen!$A$3:$I$9,4,FALSE),(IF($B$4&lt;500000,VLOOKUP(2,Wegelängen!$A$3:$I$9,4,FALSE),VLOOKUP(1,Wegelängen!$A$3:$I$9,4,FALSE))))))))))))*'CO2'!B2/1000</f>
        <v>0</v>
      </c>
      <c r="C52" s="3">
        <f>IF($B$4&lt;2000,VLOOKUP(7,Wegelängen!$A$3:$I$9,5,FALSE),(IF($B$4&lt;5000,VLOOKUP(6,Wegelängen!$A$3:$I$9,5,FALSE),(IF($B$4&lt;20000,VLOOKUP(5,Wegelängen!$A$3:$I$9,5,FALSE),(IF($B$4&lt;50000,VLOOKUP(4,Wegelängen!$A$3:$I$9,5,FALSE),(IF($B$4&lt;100000,VLOOKUP(3,Wegelängen!$A$3:$I$9,5,FALSE),(IF($B$4&lt;500000,VLOOKUP(2,Wegelängen!$A$3:$I$9,5,FALSE),VLOOKUP(1,Wegelängen!$A$3:$I$9,5,FALSE))))))))))))*'CO2'!B3/1000</f>
        <v>0</v>
      </c>
      <c r="D52" s="3">
        <f>IF($B$4&lt;2000,VLOOKUP(7,Wegelängen!$A$3:$I$9,6,FALSE),(IF($B$4&lt;5000,VLOOKUP(6,Wegelängen!$A$3:$I$9,6,FALSE),(IF($B$4&lt;20000,VLOOKUP(5,Wegelängen!$A$3:$I$9,6,FALSE),(IF($B$4&lt;50000,VLOOKUP(4,Wegelängen!$A$3:$I$9,6,FALSE),(IF($B$4&lt;100000,VLOOKUP(3,Wegelängen!$A$3:$I$9,6,FALSE),(IF($B$4&lt;500000,VLOOKUP(2,Wegelängen!$A$3:$I$9,6,FALSE),VLOOKUP(1,Wegelängen!$A$3:$I$9,6,FALSE))))))))))))*'CO2'!B4/1000</f>
        <v>1.4746950182260026</v>
      </c>
      <c r="E52" s="3">
        <f>IF($B$4&lt;2000,VLOOKUP(7,Wegelängen!$A$3:$I$9,7,FALSE),(IF($B$4&lt;5000,VLOOKUP(6,Wegelängen!$A$3:$I$9,7,FALSE),(IF($B$4&lt;20000,VLOOKUP(5,Wegelängen!$A$3:$I$9,7,FALSE),(IF($B$4&lt;50000,VLOOKUP(4,Wegelängen!$A$3:$I$9,7,FALSE),(IF($B$4&lt;100000,VLOOKUP(3,Wegelängen!$A$3:$I$9,7,FALSE),(IF($B$4&lt;500000,VLOOKUP(2,Wegelängen!$A$3:$I$9,7,FALSE),VLOOKUP(1,Wegelängen!$A$3:$I$9,7,FALSE))))))))))))*'CO2'!B5/1000</f>
        <v>3.5349062697448357</v>
      </c>
      <c r="F52" s="3">
        <f>IF($B$4&lt;2000,VLOOKUP(7,Wegelängen!$A$3:$I$9,8,FALSE),(IF($B$4&lt;5000,VLOOKUP(6,Wegelängen!$A$3:$I$9,8,FALSE),(IF($B$4&lt;20000,VLOOKUP(5,Wegelängen!$A$3:$I$9,8,FALSE),(IF($B$4&lt;50000,VLOOKUP(4,Wegelängen!$A$3:$I$9,8,FALSE),(IF($B$4&lt;100000,VLOOKUP(3,Wegelängen!$A$3:$I$9,8,FALSE),(IF($B$4&lt;500000,VLOOKUP(2,Wegelängen!$A$3:$I$9,8,FALSE),VLOOKUP(1,Wegelängen!$A$3:$I$9,8,FALSE))))))))))))*'CO2'!B6/1000</f>
        <v>0.15277311688942891</v>
      </c>
    </row>
    <row r="53" spans="1:6">
      <c r="B53" t="s">
        <v>49</v>
      </c>
    </row>
    <row r="54" spans="1:6">
      <c r="A54" t="s">
        <v>38</v>
      </c>
      <c r="B54" s="3">
        <f>(($B$4*B13*B16/100*B19)+($B$4*C13*C16/100*C19)+($B$4*D13*D16/100*D19)+($B$4*E13*E16/100*E19)+($B$4*F13*F16/100*F19))*3.5/1000000</f>
        <v>114.4496714926367</v>
      </c>
    </row>
    <row r="55" spans="1:6">
      <c r="A55" t="s">
        <v>39</v>
      </c>
      <c r="B55" s="3">
        <f>(((IF($B$4&lt;2000,VLOOKUP(7,'Modal Split'!$A$3:$F$9,2,FALSE),(IF($B$4&lt;5000,VLOOKUP(6,'Modal Split'!$A$3:$F$9,2,FALSE),(IF($B$4&lt;20000,VLOOKUP(5,'Modal Split'!$A$3:$F$9,2,FALSE),(IF($B$4&lt;50000,VLOOKUP(4,'Modal Split'!$A$3:$F$9,2,FALSE),(IF($B$4&lt;100000,VLOOKUP(3,'Modal Split'!$A$3:$F$9,2,FALSE),(IF($B$4&lt;500000,VLOOKUP(2,'Modal Split'!$A$3:$F$9,2,FALSE),VLOOKUP(1,'Modal Split'!$A$3:$F$9,2,FALSE)))))))))))))*(IF($B$4&lt;2000,VLOOKUP(7,Wegelängen!$A$3:$I$9,9,FALSE),(IF($B$4&lt;5000,VLOOKUP(6,Wegelängen!$A$3:$I$9,9,FALSE),(IF($B$4&lt;20000,VLOOKUP(5,Wegelängen!$A$3:$I$9,9,FALSE),(IF($B$4&lt;50000,VLOOKUP(4,Wegelängen!$A$3:$I$9,9,FALSE),(IF($B$4&lt;100000,VLOOKUP(3,Wegelängen!$A$3:$I$9,9,FALSE),(IF($B$4&lt;500000,VLOOKUP(2,Wegelängen!$A$3:$I$9,9,FALSE),VLOOKUP(1,Wegelängen!$A$3:$I$9,9,FALSE)))))))))))))*(IF($B$4&lt;2000,VLOOKUP(7,Wegelängen!$A$3:$I$9,4,FALSE),(IF($B$4&lt;5000,VLOOKUP(6,Wegelängen!$A$3:$I$9,4,FALSE),(IF($B$4&lt;20000,VLOOKUP(5,Wegelängen!$A$3:$I$9,4,FALSE),(IF($B$4&lt;50000,VLOOKUP(4,Wegelängen!$A$3:$I$9,4,FALSE),(IF($B$4&lt;100000,VLOOKUP(3,Wegelängen!$A$3:$I$9,4,FALSE),(IF($B$4&lt;500000,VLOOKUP(2,Wegelängen!$A$3:$I$9,4,FALSE),VLOOKUP(1,Wegelängen!$A$3:$I$9,4,FALSE)))))))))))))*$B$4/100*'CO2'!B2)+((IF($B$4&lt;2000,VLOOKUP(7,'Modal Split'!$A$3:$F$9,3,FALSE),(IF($B$4&lt;5000,VLOOKUP(6,'Modal Split'!$A$3:$F$9,3,FALSE),(IF($B$4&lt;20000,VLOOKUP(5,'Modal Split'!$A$3:$F$9,3,FALSE),(IF($B$4&lt;50000,VLOOKUP(4,'Modal Split'!$A$3:$F$9,3,FALSE),(IF($B$4&lt;100000,VLOOKUP(3,'Modal Split'!$A$3:$F$9,3,FALSE),(IF($B$4&lt;500000,VLOOKUP(2,'Modal Split'!$A$3:$F$9,3,FALSE),VLOOKUP(1,'Modal Split'!$A$3:$F$9,3,FALSE)))))))))))))*(IF($B$4&lt;2000,VLOOKUP(7,Wegelängen!$A$3:$I$9,9,FALSE),(IF($B$4&lt;5000,VLOOKUP(6,Wegelängen!$A$3:$I$9,9,FALSE),(IF($B$4&lt;20000,VLOOKUP(5,Wegelängen!$A$3:$I$9,9,FALSE),(IF($B$4&lt;50000,VLOOKUP(4,Wegelängen!$A$3:$I$9,9,FALSE),(IF($B$4&lt;100000,VLOOKUP(3,Wegelängen!$A$3:$I$9,9,FALSE),(IF($B$4&lt;500000,VLOOKUP(2,Wegelängen!$A$3:$I$9,9,FALSE),VLOOKUP(1,Wegelängen!$A$3:$I$9,9,FALSE)))))))))))))*(IF($B$4&lt;2000,VLOOKUP(7,Wegelängen!$A$3:$I$9,5,FALSE),(IF($B$4&lt;5000,VLOOKUP(6,Wegelängen!$A$3:$I$9,5,FALSE),(IF($B$4&lt;20000,VLOOKUP(5,Wegelängen!$A$3:$I$9,5,FALSE),(IF($B$4&lt;50000,VLOOKUP(4,Wegelängen!$A$3:$I$9,5,FALSE),(IF($B$4&lt;100000,VLOOKUP(3,Wegelängen!$A$3:$I$9,5,FALSE),(IF($B$4&lt;500000,VLOOKUP(2,Wegelängen!$A$3:$I$9,5,FALSE),VLOOKUP(1,Wegelängen!$A$3:$I$9,5,FALSE)))))))))))))*$B$4/100*'CO2'!B3)+((IF($B$4&lt;2000,VLOOKUP(7,'Modal Split'!$A$3:$F$9,4,FALSE),(IF($B$4&lt;5000,VLOOKUP(6,'Modal Split'!$A$3:$F$9,4,FALSE),(IF($B$4&lt;20000,VLOOKUP(5,'Modal Split'!$A$3:$F$9,4,FALSE),(IF($B$4&lt;50000,VLOOKUP(4,'Modal Split'!$A$3:$F$9,4,FALSE),(IF($B$4&lt;100000,VLOOKUP(3,'Modal Split'!$A$3:$F$9,4,FALSE),(IF($B$4&lt;500000,VLOOKUP(2,'Modal Split'!$A$3:$F$9,4,FALSE),VLOOKUP(1,'Modal Split'!$A$3:$F$9,4,FALSE)))))))))))))*(IF($B$4&lt;2000,VLOOKUP(7,Wegelängen!$A$3:$I$9,9,FALSE),(IF($B$4&lt;5000,VLOOKUP(6,Wegelängen!$A$3:$I$9,9,FALSE),(IF($B$4&lt;20000,VLOOKUP(5,Wegelängen!$A$3:$I$9,9,FALSE),(IF($B$4&lt;50000,VLOOKUP(4,Wegelängen!$A$3:$I$9,9,FALSE),(IF($B$4&lt;100000,VLOOKUP(3,Wegelängen!$A$3:$I$9,9,FALSE),(IF($B$4&lt;500000,VLOOKUP(2,Wegelängen!$A$3:$I$9,9,FALSE),VLOOKUP(1,Wegelängen!$A$3:$I$9,9,FALSE)))))))))))))*(IF($B$4&lt;2000,VLOOKUP(7,Wegelängen!$A$3:$I$9,6,FALSE),(IF($B$4&lt;5000,VLOOKUP(6,Wegelängen!$A$3:$I$9,6,FALSE),(IF($B$4&lt;20000,VLOOKUP(5,Wegelängen!$A$3:$I$9,6,FALSE),(IF($B$4&lt;50000,VLOOKUP(4,Wegelängen!$A$3:$I$9,6,FALSE),(IF($B$4&lt;100000,VLOOKUP(3,Wegelängen!$A$3:$I$9,6,FALSE),(IF($B$4&lt;500000,VLOOKUP(2,Wegelängen!$A$3:$I$9,6,FALSE),VLOOKUP(1,Wegelängen!$A$3:$I$9,6,FALSE)))))))))))))*$B$4/100*'CO2'!B4)+((IF($B$4&lt;2000,VLOOKUP(7,'Modal Split'!$A$3:$F$9,5,FALSE),(IF($B$4&lt;5000,VLOOKUP(6,'Modal Split'!$A$3:$F$9,5,FALSE),(IF($B$4&lt;20000,VLOOKUP(5,'Modal Split'!$A$3:$F$9,5,FALSE),(IF($B$4&lt;50000,VLOOKUP(4,'Modal Split'!$A$3:$F$9,5,FALSE),(IF($B$4&lt;100000,VLOOKUP(3,'Modal Split'!$A$3:$F$9,5,FALSE),(IF($B$4&lt;500000,VLOOKUP(2,'Modal Split'!$A$3:$F$9,5,FALSE),VLOOKUP(1,'Modal Split'!$A$3:$F$9,5,FALSE)))))))))))))*(IF($B$4&lt;2000,VLOOKUP(7,Wegelängen!$A$3:$I$9,9,FALSE),(IF($B$4&lt;5000,VLOOKUP(6,Wegelängen!$A$3:$I$9,9,FALSE),(IF($B$4&lt;20000,VLOOKUP(5,Wegelängen!$A$3:$I$9,9,FALSE),(IF($B$4&lt;50000,VLOOKUP(4,Wegelängen!$A$3:$I$9,9,FALSE),(IF($B$4&lt;100000,VLOOKUP(3,Wegelängen!$A$3:$I$9,9,FALSE),(IF($B$4&lt;500000,VLOOKUP(2,Wegelängen!$A$3:$I$9,9,FALSE),VLOOKUP(1,Wegelängen!$A$3:$I$9,9,FALSE)))))))))))))*(IF($B$4&lt;2000,VLOOKUP(7,Wegelängen!$A$3:$I$9,7,FALSE),(IF($B$4&lt;5000,VLOOKUP(6,Wegelängen!$A$3:$I$9,7,FALSE),(IF($B$4&lt;20000,VLOOKUP(5,Wegelängen!$A$3:$I$9,7,FALSE),(IF($B$4&lt;50000,VLOOKUP(4,Wegelängen!$A$3:$I$9,7,FALSE),(IF($B$4&lt;100000,VLOOKUP(3,Wegelängen!$A$3:$I$9,7,FALSE),(IF($B$4&lt;500000,VLOOKUP(2,Wegelängen!$A$3:$I$9,7,FALSE),VLOOKUP(1,Wegelängen!$A$3:$I$9,7,FALSE)))))))))))))*$B$4/100*'CO2'!B5)+((IF($B$4&lt;2000,VLOOKUP(7,'Modal Split'!$A$3:$F$9,6,FALSE),(IF($B$4&lt;5000,VLOOKUP(6,'Modal Split'!$A$3:$F$9,6,FALSE),(IF($B$4&lt;20000,VLOOKUP(5,'Modal Split'!$A$3:$F$9,6,FALSE),(IF($B$4&lt;50000,VLOOKUP(4,'Modal Split'!$A$3:$F$9,6,FALSE),(IF($B$4&lt;100000,VLOOKUP(3,'Modal Split'!$A$3:$F$9,6,FALSE),(IF($B$4&lt;500000,VLOOKUP(2,'Modal Split'!$A$3:$F$9,6,FALSE),VLOOKUP(1,'Modal Split'!$A$3:$F$9,6,FALSE)))))))))))))*(IF($B$4&lt;2000,VLOOKUP(7,Wegelängen!$A$3:$I$9,9,FALSE),(IF($B$4&lt;5000,VLOOKUP(6,Wegelängen!$A$3:$I$9,9,FALSE),(IF($B$4&lt;20000,VLOOKUP(5,Wegelängen!$A$3:$I$9,9,FALSE),(IF($B$4&lt;50000,VLOOKUP(4,Wegelängen!$A$3:$I$9,9,FALSE),(IF($B$4&lt;100000,VLOOKUP(3,Wegelängen!$A$3:$I$9,9,FALSE),(IF($B$4&lt;500000,VLOOKUP(2,Wegelängen!$A$3:$I$9,9,FALSE),VLOOKUP(1,Wegelängen!$A$3:$I$9,9,FALSE)))))))))))))*(IF($B$4&lt;2000,VLOOKUP(7,Wegelängen!$A$3:$I$9,8,FALSE),(IF($B$4&lt;5000,VLOOKUP(6,Wegelängen!$A$3:$I$9,8,FALSE),(IF($B$4&lt;20000,VLOOKUP(5,Wegelängen!$A$3:$I$9,8,FALSE),(IF($B$4&lt;50000,VLOOKUP(4,Wegelängen!$A$3:$I$9,8,FALSE),(IF($B$4&lt;100000,VLOOKUP(3,Wegelängen!$A$3:$I$9,8,FALSE),(IF($B$4&lt;500000,VLOOKUP(2,Wegelängen!$A$3:$I$9,8,FALSE),VLOOKUP(1,Wegelängen!$A$3:$I$9,8,FALSE)))))))))))))*$B$4/100*'CO2'!B6))/1000000</f>
        <v>114.4496714926367</v>
      </c>
    </row>
  </sheetData>
  <mergeCells count="10">
    <mergeCell ref="B46:F46"/>
    <mergeCell ref="B50:F50"/>
    <mergeCell ref="B11:F11"/>
    <mergeCell ref="B15:F15"/>
    <mergeCell ref="B18:F18"/>
    <mergeCell ref="B26:F26"/>
    <mergeCell ref="B35:F35"/>
    <mergeCell ref="B45:F45"/>
    <mergeCell ref="B27:F27"/>
    <mergeCell ref="B36:F36"/>
  </mergeCells>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2:Q35"/>
  <sheetViews>
    <sheetView showGridLines="0" showRowColHeaders="0" workbookViewId="0">
      <selection activeCell="H7" sqref="H7:I10"/>
    </sheetView>
  </sheetViews>
  <sheetFormatPr baseColWidth="10" defaultRowHeight="14" x14ac:dyDescent="0"/>
  <sheetData>
    <row r="2" spans="8:17">
      <c r="H2" s="158" t="s">
        <v>201</v>
      </c>
      <c r="I2" s="158"/>
      <c r="J2" s="158"/>
    </row>
    <row r="3" spans="8:17" ht="16" customHeight="1">
      <c r="H3" s="158"/>
      <c r="I3" s="158"/>
      <c r="J3" s="158"/>
    </row>
    <row r="5" spans="8:17">
      <c r="H5" t="s">
        <v>195</v>
      </c>
    </row>
    <row r="7" spans="8:17" ht="13" customHeight="1">
      <c r="H7" s="90" t="s">
        <v>126</v>
      </c>
      <c r="I7" s="89" t="s">
        <v>124</v>
      </c>
    </row>
    <row r="8" spans="8:17" ht="13" customHeight="1">
      <c r="H8" s="91" t="s">
        <v>126</v>
      </c>
      <c r="I8" s="89" t="s">
        <v>168</v>
      </c>
    </row>
    <row r="9" spans="8:17" ht="13" customHeight="1">
      <c r="H9" s="92" t="s">
        <v>126</v>
      </c>
      <c r="I9" s="89" t="s">
        <v>169</v>
      </c>
    </row>
    <row r="10" spans="8:17" ht="13" customHeight="1">
      <c r="H10" s="93" t="s">
        <v>126</v>
      </c>
      <c r="I10" s="89" t="s">
        <v>170</v>
      </c>
    </row>
    <row r="12" spans="8:17">
      <c r="H12" s="159" t="s">
        <v>207</v>
      </c>
      <c r="I12" s="159"/>
      <c r="J12" s="159"/>
      <c r="K12" s="159"/>
      <c r="L12" s="159"/>
      <c r="M12" s="159"/>
      <c r="N12" s="159"/>
      <c r="O12" s="159"/>
      <c r="P12" s="159"/>
      <c r="Q12" s="159"/>
    </row>
    <row r="13" spans="8:17">
      <c r="H13" s="159"/>
      <c r="I13" s="159"/>
      <c r="J13" s="159"/>
      <c r="K13" s="159"/>
      <c r="L13" s="159"/>
      <c r="M13" s="159"/>
      <c r="N13" s="159"/>
      <c r="O13" s="159"/>
      <c r="P13" s="159"/>
      <c r="Q13" s="159"/>
    </row>
    <row r="14" spans="8:17">
      <c r="H14" s="159"/>
      <c r="I14" s="159"/>
      <c r="J14" s="159"/>
      <c r="K14" s="159"/>
      <c r="L14" s="159"/>
      <c r="M14" s="159"/>
      <c r="N14" s="159"/>
      <c r="O14" s="159"/>
      <c r="P14" s="159"/>
      <c r="Q14" s="159"/>
    </row>
    <row r="19" spans="8:8">
      <c r="H19" t="s">
        <v>196</v>
      </c>
    </row>
    <row r="20" spans="8:8">
      <c r="H20" t="s">
        <v>197</v>
      </c>
    </row>
    <row r="28" spans="8:8">
      <c r="H28" t="s">
        <v>198</v>
      </c>
    </row>
    <row r="29" spans="8:8">
      <c r="H29" t="s">
        <v>199</v>
      </c>
    </row>
    <row r="30" spans="8:8">
      <c r="H30" t="s">
        <v>199</v>
      </c>
    </row>
    <row r="31" spans="8:8">
      <c r="H31" t="s">
        <v>199</v>
      </c>
    </row>
    <row r="32" spans="8:8">
      <c r="H32" t="s">
        <v>199</v>
      </c>
    </row>
    <row r="35" spans="8:8">
      <c r="H35" t="s">
        <v>200</v>
      </c>
    </row>
  </sheetData>
  <mergeCells count="2">
    <mergeCell ref="H2:J3"/>
    <mergeCell ref="H12:Q14"/>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P34"/>
  <sheetViews>
    <sheetView showGridLines="0" showRowColHeaders="0" workbookViewId="0">
      <selection activeCell="E3" sqref="E3"/>
    </sheetView>
  </sheetViews>
  <sheetFormatPr baseColWidth="10" defaultRowHeight="14" x14ac:dyDescent="0"/>
  <cols>
    <col min="1" max="1" width="4.6640625" customWidth="1"/>
    <col min="2" max="2" width="16.83203125" customWidth="1"/>
    <col min="3" max="3" width="11.5" customWidth="1"/>
    <col min="4" max="4" width="12.5" customWidth="1"/>
    <col min="5" max="5" width="12.6640625" customWidth="1"/>
    <col min="6" max="7" width="12.33203125" customWidth="1"/>
    <col min="11" max="11" width="13.5" bestFit="1" customWidth="1"/>
  </cols>
  <sheetData>
    <row r="1" spans="2:16" s="13" customFormat="1" ht="48" customHeight="1">
      <c r="B1" s="161" t="s">
        <v>154</v>
      </c>
      <c r="C1" s="161"/>
      <c r="D1" s="161"/>
      <c r="E1" s="161"/>
      <c r="F1" s="161"/>
      <c r="G1" s="161"/>
      <c r="H1" s="161"/>
    </row>
    <row r="2" spans="2:16" s="13" customFormat="1"/>
    <row r="3" spans="2:16" s="61" customFormat="1" ht="20" customHeight="1">
      <c r="B3" s="164" t="s">
        <v>106</v>
      </c>
      <c r="C3" s="164"/>
      <c r="D3" s="165"/>
      <c r="E3" s="74">
        <v>100000</v>
      </c>
      <c r="F3" s="61" t="s">
        <v>0</v>
      </c>
    </row>
    <row r="4" spans="2:16" s="13" customFormat="1">
      <c r="B4" s="14"/>
      <c r="C4" s="14"/>
      <c r="D4" s="14"/>
    </row>
    <row r="5" spans="2:16" s="13" customFormat="1" ht="66" customHeight="1">
      <c r="B5" s="162" t="s">
        <v>155</v>
      </c>
      <c r="C5" s="162"/>
      <c r="D5" s="162"/>
      <c r="E5" s="162"/>
      <c r="F5" s="162"/>
      <c r="G5" s="162"/>
      <c r="H5" s="162"/>
    </row>
    <row r="6" spans="2:16" s="13" customFormat="1">
      <c r="B6" s="14"/>
      <c r="C6" s="14"/>
      <c r="D6" s="14"/>
    </row>
    <row r="7" spans="2:16" s="15" customFormat="1" ht="32" customHeight="1">
      <c r="B7" s="77" t="s">
        <v>100</v>
      </c>
      <c r="C7" s="78" t="s">
        <v>65</v>
      </c>
      <c r="D7" s="78" t="s">
        <v>66</v>
      </c>
      <c r="E7" s="78" t="s">
        <v>67</v>
      </c>
      <c r="F7" s="78" t="s">
        <v>108</v>
      </c>
      <c r="G7" s="78" t="s">
        <v>107</v>
      </c>
      <c r="H7" s="78" t="s">
        <v>109</v>
      </c>
      <c r="J7" s="160"/>
      <c r="K7" s="160"/>
      <c r="L7" s="160"/>
      <c r="M7" s="160"/>
      <c r="N7" s="160"/>
      <c r="O7" s="160"/>
      <c r="P7" s="160"/>
    </row>
    <row r="8" spans="2:16" s="61" customFormat="1" ht="20" customHeight="1">
      <c r="B8" s="65" t="s">
        <v>74</v>
      </c>
      <c r="C8" s="75">
        <v>28</v>
      </c>
      <c r="D8" s="75">
        <v>13</v>
      </c>
      <c r="E8" s="75">
        <v>27</v>
      </c>
      <c r="F8" s="75">
        <v>24</v>
      </c>
      <c r="G8" s="75">
        <v>8</v>
      </c>
      <c r="H8" s="96">
        <f>SUM(C8:G8)</f>
        <v>100</v>
      </c>
    </row>
    <row r="9" spans="2:16" s="61" customFormat="1" ht="20" customHeight="1">
      <c r="B9" s="66" t="s">
        <v>73</v>
      </c>
      <c r="C9" s="94">
        <f>Rechner!C9*100</f>
        <v>28.000000000000004</v>
      </c>
      <c r="D9" s="94">
        <f>Rechner!D9*100</f>
        <v>13</v>
      </c>
      <c r="E9" s="94">
        <f>Rechner!E9*100</f>
        <v>27</v>
      </c>
      <c r="F9" s="94">
        <f>Rechner!F9*100</f>
        <v>24</v>
      </c>
      <c r="G9" s="94">
        <f>Rechner!G9*100</f>
        <v>8</v>
      </c>
      <c r="H9" s="95">
        <f>SUM(C9:G9)</f>
        <v>100</v>
      </c>
    </row>
    <row r="10" spans="2:16" s="13" customFormat="1"/>
    <row r="11" spans="2:16" s="13" customFormat="1" ht="19" customHeight="1">
      <c r="B11" s="166" t="s">
        <v>54</v>
      </c>
      <c r="C11" s="167"/>
      <c r="D11" s="167"/>
      <c r="E11" s="97">
        <f>IF($E$3&lt;2000,VLOOKUP(7,Wegelängen!$A$3:$I$9,9,FALSE),(IF($E$3&lt;5000,VLOOKUP(6,Wegelängen!$A$3:$I$9,9,FALSE),(IF($E$3&lt;20000,VLOOKUP(5,Wegelängen!$A$3:$I$9,9,FALSE),(IF($E$3&lt;50000,VLOOKUP(4,Wegelängen!$A$3:$I$9,9,FALSE),(IF($E$3&lt;100000,VLOOKUP(3,Wegelängen!$A$3:$I$9,9,FALSE),(IF($E$3&lt;500000,VLOOKUP(2,Wegelängen!$A$3:$I$9,9,FALSE),VLOOKUP(1,Wegelängen!$A$3:$I$9,9,FALSE))))))))))))*$E$3</f>
        <v>350000</v>
      </c>
      <c r="F11" s="168" t="s">
        <v>55</v>
      </c>
      <c r="G11" s="168"/>
      <c r="H11" s="169"/>
      <c r="J11" s="90" t="s">
        <v>126</v>
      </c>
      <c r="K11" s="89" t="s">
        <v>124</v>
      </c>
    </row>
    <row r="12" spans="2:16" s="13" customFormat="1" ht="19" customHeight="1">
      <c r="B12" s="170" t="s">
        <v>56</v>
      </c>
      <c r="C12" s="171"/>
      <c r="D12" s="171"/>
      <c r="E12" s="98">
        <f>Rechner!F27</f>
        <v>84000</v>
      </c>
      <c r="F12" s="172" t="s">
        <v>57</v>
      </c>
      <c r="G12" s="172"/>
      <c r="H12" s="173"/>
      <c r="J12" s="91" t="s">
        <v>126</v>
      </c>
      <c r="K12" s="89" t="s">
        <v>168</v>
      </c>
    </row>
    <row r="13" spans="2:16" s="13" customFormat="1" ht="19" customHeight="1">
      <c r="B13" s="170" t="s">
        <v>58</v>
      </c>
      <c r="C13" s="171"/>
      <c r="D13" s="171"/>
      <c r="E13" s="98">
        <f>Rechner!B33</f>
        <v>4007214.6415552855</v>
      </c>
      <c r="F13" s="20" t="s">
        <v>64</v>
      </c>
      <c r="G13" s="20"/>
      <c r="H13" s="58"/>
      <c r="J13" s="92" t="s">
        <v>126</v>
      </c>
      <c r="K13" s="89" t="s">
        <v>169</v>
      </c>
    </row>
    <row r="14" spans="2:16" s="13" customFormat="1" ht="19" customHeight="1" thickBot="1">
      <c r="B14" s="170" t="s">
        <v>59</v>
      </c>
      <c r="C14" s="171"/>
      <c r="D14" s="171"/>
      <c r="E14" s="98">
        <f>Rechner!B39</f>
        <v>440.56845315382748</v>
      </c>
      <c r="F14" s="172" t="s">
        <v>101</v>
      </c>
      <c r="G14" s="172"/>
      <c r="H14" s="173"/>
      <c r="J14" s="93" t="s">
        <v>126</v>
      </c>
      <c r="K14" s="89" t="s">
        <v>170</v>
      </c>
    </row>
    <row r="15" spans="2:16" s="61" customFormat="1" ht="26" customHeight="1" thickBot="1">
      <c r="B15" s="99"/>
      <c r="C15" s="100"/>
      <c r="D15" s="100" t="s">
        <v>173</v>
      </c>
      <c r="E15" s="103">
        <f>E14*365</f>
        <v>160807.48540114702</v>
      </c>
      <c r="F15" s="177" t="s">
        <v>171</v>
      </c>
      <c r="G15" s="177"/>
      <c r="H15" s="178"/>
    </row>
    <row r="16" spans="2:16" s="61" customFormat="1" ht="26" customHeight="1" thickBot="1">
      <c r="B16" s="101"/>
      <c r="C16" s="102"/>
      <c r="D16" s="102" t="s">
        <v>110</v>
      </c>
      <c r="E16" s="103">
        <f>E15*1000/E3</f>
        <v>1608.0748540114701</v>
      </c>
      <c r="F16" s="175" t="s">
        <v>172</v>
      </c>
      <c r="G16" s="175"/>
      <c r="H16" s="176"/>
    </row>
    <row r="17" spans="1:9" s="13" customFormat="1"/>
    <row r="18" spans="1:9" s="13" customFormat="1" ht="66" customHeight="1">
      <c r="B18" s="160" t="s">
        <v>174</v>
      </c>
      <c r="C18" s="160"/>
      <c r="D18" s="160"/>
      <c r="E18" s="160"/>
      <c r="F18" s="160"/>
      <c r="G18" s="160"/>
      <c r="H18" s="160"/>
    </row>
    <row r="19" spans="1:9" s="13" customFormat="1"/>
    <row r="20" spans="1:9" s="13" customFormat="1" ht="32" customHeight="1">
      <c r="B20" s="77" t="s">
        <v>112</v>
      </c>
      <c r="C20" s="78" t="s">
        <v>118</v>
      </c>
      <c r="D20" s="78" t="s">
        <v>119</v>
      </c>
      <c r="E20" s="78" t="s">
        <v>120</v>
      </c>
      <c r="F20" s="78" t="s">
        <v>125</v>
      </c>
      <c r="G20" s="78" t="s">
        <v>121</v>
      </c>
      <c r="H20" s="78" t="s">
        <v>122</v>
      </c>
    </row>
    <row r="21" spans="1:9" s="61" customFormat="1" ht="20" customHeight="1">
      <c r="B21" s="66" t="s">
        <v>113</v>
      </c>
      <c r="C21" s="105">
        <f>Rechner!F27</f>
        <v>84000</v>
      </c>
      <c r="D21" s="76">
        <v>0</v>
      </c>
      <c r="E21" s="105">
        <f>C21+D21</f>
        <v>84000</v>
      </c>
      <c r="F21" s="106">
        <f>D21*Rechner!F14*Rechner!F19/1000000</f>
        <v>0</v>
      </c>
      <c r="G21" s="107">
        <f>(E21-C21)/C21</f>
        <v>0</v>
      </c>
      <c r="H21" s="109">
        <f>E21/SUM($E$21:$E$25)</f>
        <v>0.24</v>
      </c>
    </row>
    <row r="22" spans="1:9" s="61" customFormat="1" ht="20" customHeight="1">
      <c r="B22" s="66" t="s">
        <v>114</v>
      </c>
      <c r="C22" s="105">
        <f>Rechner!G27</f>
        <v>28000</v>
      </c>
      <c r="D22" s="76">
        <v>0</v>
      </c>
      <c r="E22" s="105">
        <f t="shared" ref="E22:E25" si="0">C22+D22</f>
        <v>28000</v>
      </c>
      <c r="F22" s="106">
        <f>D22*Rechner!G14*Rechner!G19/1000000</f>
        <v>0</v>
      </c>
      <c r="G22" s="107">
        <f>(E22-C22)/C22</f>
        <v>0</v>
      </c>
      <c r="H22" s="109">
        <f t="shared" ref="H22:H25" si="1">E22/SUM($E$21:$E$25)</f>
        <v>0.08</v>
      </c>
    </row>
    <row r="23" spans="1:9" s="61" customFormat="1" ht="20" customHeight="1">
      <c r="B23" s="66" t="s">
        <v>117</v>
      </c>
      <c r="C23" s="105">
        <f>Rechner!E27</f>
        <v>94500</v>
      </c>
      <c r="D23" s="76">
        <v>0</v>
      </c>
      <c r="E23" s="105">
        <f t="shared" si="0"/>
        <v>94500</v>
      </c>
      <c r="F23" s="106">
        <f>D23*Rechner!E14*Rechner!E19/1000000</f>
        <v>0</v>
      </c>
      <c r="G23" s="107">
        <f>(E23-C23)/C23</f>
        <v>0</v>
      </c>
      <c r="H23" s="109">
        <f t="shared" si="1"/>
        <v>0.27</v>
      </c>
    </row>
    <row r="24" spans="1:9" s="61" customFormat="1" ht="20" customHeight="1">
      <c r="B24" s="66" t="s">
        <v>115</v>
      </c>
      <c r="C24" s="105">
        <f>Rechner!D27</f>
        <v>45500</v>
      </c>
      <c r="D24" s="76">
        <v>0</v>
      </c>
      <c r="E24" s="105">
        <f t="shared" si="0"/>
        <v>45500</v>
      </c>
      <c r="F24" s="106">
        <f>D24*Rechner!D14*Rechner!D19/1000000</f>
        <v>0</v>
      </c>
      <c r="G24" s="107">
        <f>(E24-C24)/C24</f>
        <v>0</v>
      </c>
      <c r="H24" s="109">
        <f t="shared" si="1"/>
        <v>0.13</v>
      </c>
    </row>
    <row r="25" spans="1:9" s="61" customFormat="1" ht="20" customHeight="1">
      <c r="B25" s="66" t="s">
        <v>116</v>
      </c>
      <c r="C25" s="105">
        <f>Rechner!C27</f>
        <v>98000.000000000015</v>
      </c>
      <c r="D25" s="76">
        <v>0</v>
      </c>
      <c r="E25" s="105">
        <f t="shared" si="0"/>
        <v>98000.000000000015</v>
      </c>
      <c r="F25" s="106">
        <f>D25*Rechner!C14*Rechner!C19/1000000</f>
        <v>0</v>
      </c>
      <c r="G25" s="107">
        <f>(E25-C25)/C25</f>
        <v>0</v>
      </c>
      <c r="H25" s="109">
        <f t="shared" si="1"/>
        <v>0.28000000000000003</v>
      </c>
    </row>
    <row r="26" spans="1:9" s="61" customFormat="1" ht="20" customHeight="1">
      <c r="B26" s="66" t="s">
        <v>123</v>
      </c>
      <c r="C26" s="105">
        <f>SUM(C21:C25)</f>
        <v>350000</v>
      </c>
      <c r="D26" s="105">
        <f>SUM(D21:D25)</f>
        <v>0</v>
      </c>
      <c r="E26" s="105">
        <f>SUM(E21:E25)</f>
        <v>350000</v>
      </c>
      <c r="F26" s="106">
        <f>SUM(F21:F25)</f>
        <v>0</v>
      </c>
      <c r="G26" s="107"/>
      <c r="H26" s="108">
        <f t="shared" ref="H26" si="2">E26/SUM($E$21:$E$25)</f>
        <v>1</v>
      </c>
    </row>
    <row r="27" spans="1:9" s="13" customFormat="1">
      <c r="C27" s="16"/>
      <c r="D27" s="18"/>
      <c r="E27" s="16"/>
      <c r="F27" s="16"/>
      <c r="H27" s="17"/>
    </row>
    <row r="28" spans="1:9" s="61" customFormat="1" ht="20" customHeight="1" thickBot="1">
      <c r="D28" s="72" t="str">
        <f>IF(D26&gt;0,"Sie müssen noch "&amp;D26&amp;" Wege reduzieren.",IF(D26=0,"","Sie müssen noch "&amp;(-1)*D26&amp;" Wege verlagern."))</f>
        <v/>
      </c>
      <c r="E28" s="163" t="s">
        <v>63</v>
      </c>
      <c r="F28" s="163"/>
      <c r="G28" s="67">
        <f>SUM(F21:F25)*-1</f>
        <v>0</v>
      </c>
      <c r="H28" s="68" t="s">
        <v>111</v>
      </c>
    </row>
    <row r="29" spans="1:9" s="61" customFormat="1" ht="20" customHeight="1" thickBot="1">
      <c r="C29" s="162"/>
      <c r="D29" s="162"/>
      <c r="E29" s="163" t="s">
        <v>61</v>
      </c>
      <c r="F29" s="163"/>
      <c r="G29" s="104">
        <f>(SUM(F21:F25))/E14*-1</f>
        <v>0</v>
      </c>
      <c r="H29" s="68" t="s">
        <v>62</v>
      </c>
    </row>
    <row r="30" spans="1:9" s="61" customFormat="1" ht="20" customHeight="1">
      <c r="A30" s="69"/>
      <c r="B30" s="69"/>
      <c r="C30" s="70"/>
      <c r="D30" s="70"/>
      <c r="E30" s="71"/>
      <c r="F30" s="71"/>
      <c r="G30" s="73" t="str">
        <f>IF($G$28&gt;=($E$14*0.4),"Sie haben eine CO2-Strategie für das 40%-Einsparziel entwickelt!","Das reicht leider noch nicht für das 40%-Ziel.")</f>
        <v>Das reicht leider noch nicht für das 40%-Ziel.</v>
      </c>
      <c r="H30" s="71"/>
      <c r="I30" s="69"/>
    </row>
    <row r="31" spans="1:9" s="13" customFormat="1">
      <c r="A31" s="19"/>
      <c r="B31" s="19"/>
      <c r="C31" s="19"/>
      <c r="D31" s="19"/>
      <c r="E31" s="20"/>
      <c r="F31" s="19"/>
      <c r="G31" s="19"/>
      <c r="H31" s="19"/>
      <c r="I31" s="19"/>
    </row>
    <row r="32" spans="1:9" s="13" customFormat="1" ht="29.25" customHeight="1">
      <c r="A32" s="19"/>
      <c r="B32" s="174" t="s">
        <v>68</v>
      </c>
      <c r="C32" s="174"/>
      <c r="D32" s="174"/>
      <c r="E32" s="174"/>
      <c r="F32" s="174"/>
      <c r="G32" s="174"/>
      <c r="H32" s="174"/>
      <c r="I32" s="19"/>
    </row>
    <row r="33" spans="1:9" s="13" customFormat="1">
      <c r="A33" s="18"/>
      <c r="B33" s="18"/>
      <c r="C33" s="18"/>
      <c r="D33" s="18"/>
      <c r="I33" s="18"/>
    </row>
    <row r="34" spans="1:9" s="13" customFormat="1">
      <c r="C34" s="18"/>
      <c r="D34" s="18"/>
    </row>
  </sheetData>
  <protectedRanges>
    <protectedRange sqref="E3 J11:J14" name="Einwohnerzahl"/>
    <protectedRange sqref="D21:D25" name="Wegeverlagerung"/>
    <protectedRange sqref="C8:G8" name="Modal Split"/>
  </protectedRanges>
  <mergeCells count="18">
    <mergeCell ref="B32:H32"/>
    <mergeCell ref="B13:D13"/>
    <mergeCell ref="B14:D14"/>
    <mergeCell ref="F14:H14"/>
    <mergeCell ref="B18:H18"/>
    <mergeCell ref="F16:H16"/>
    <mergeCell ref="F15:H15"/>
    <mergeCell ref="C29:D29"/>
    <mergeCell ref="J7:P7"/>
    <mergeCell ref="B1:H1"/>
    <mergeCell ref="B5:H5"/>
    <mergeCell ref="E28:F28"/>
    <mergeCell ref="E29:F29"/>
    <mergeCell ref="B3:D3"/>
    <mergeCell ref="B11:D11"/>
    <mergeCell ref="F11:H11"/>
    <mergeCell ref="B12:D12"/>
    <mergeCell ref="F12:H12"/>
  </mergeCells>
  <phoneticPr fontId="8" type="noConversion"/>
  <conditionalFormatting sqref="H8">
    <cfRule type="cellIs" dxfId="1" priority="2" operator="notEqual">
      <formula>100</formula>
    </cfRule>
    <cfRule type="cellIs" dxfId="0" priority="3" operator="equal">
      <formula>100</formula>
    </cfRule>
  </conditionalFormatting>
  <conditionalFormatting sqref="G29">
    <cfRule type="colorScale" priority="1">
      <colorScale>
        <cfvo type="num" val="0"/>
        <cfvo type="num" val="0.25"/>
        <cfvo type="num" val="0.5"/>
        <color rgb="FFFF0000"/>
        <color rgb="FFFFEB84"/>
        <color rgb="FF22A112"/>
      </colorScale>
    </cfRule>
  </conditionalFormatting>
  <pageMargins left="0.7" right="0.7" top="0.78740157499999996" bottom="0.78740157499999996" header="0.3" footer="0.3"/>
  <pageSetup paperSize="9" scale="75" orientation="portrait"/>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F48" sqref="F48"/>
    </sheetView>
  </sheetViews>
  <sheetFormatPr baseColWidth="10" defaultRowHeight="14" x14ac:dyDescent="0"/>
  <cols>
    <col min="1" max="2" width="11.6640625" style="82" customWidth="1"/>
    <col min="3" max="7" width="11.6640625" style="139" customWidth="1"/>
    <col min="8" max="9" width="11.6640625" style="82" customWidth="1"/>
    <col min="10" max="10" width="11.6640625" style="83" customWidth="1"/>
    <col min="11" max="16384" width="10.83203125" style="82"/>
  </cols>
  <sheetData>
    <row r="1" spans="1:10">
      <c r="A1" s="179" t="s">
        <v>191</v>
      </c>
      <c r="B1" s="179"/>
      <c r="C1" s="179"/>
      <c r="D1" s="179"/>
      <c r="E1" s="179"/>
      <c r="F1" s="179"/>
      <c r="G1" s="179"/>
      <c r="H1" s="179"/>
      <c r="I1" s="179"/>
      <c r="J1" s="179"/>
    </row>
    <row r="2" spans="1:10" ht="30" customHeight="1">
      <c r="A2" s="179"/>
      <c r="B2" s="179"/>
      <c r="C2" s="179"/>
      <c r="D2" s="179"/>
      <c r="E2" s="179"/>
      <c r="F2" s="179"/>
      <c r="G2" s="179"/>
      <c r="H2" s="179"/>
      <c r="I2" s="179"/>
      <c r="J2" s="179"/>
    </row>
    <row r="3" spans="1:10" ht="46" customHeight="1">
      <c r="A3" s="140" t="s">
        <v>136</v>
      </c>
      <c r="B3" s="140" t="s">
        <v>185</v>
      </c>
      <c r="C3" s="140" t="s">
        <v>186</v>
      </c>
      <c r="D3" s="140" t="s">
        <v>187</v>
      </c>
      <c r="E3" s="140" t="s">
        <v>188</v>
      </c>
      <c r="F3" s="140" t="s">
        <v>189</v>
      </c>
      <c r="G3" s="140" t="s">
        <v>192</v>
      </c>
      <c r="H3" s="140" t="s">
        <v>184</v>
      </c>
      <c r="I3" s="140" t="s">
        <v>153</v>
      </c>
      <c r="J3" s="140" t="s">
        <v>164</v>
      </c>
    </row>
    <row r="4" spans="1:10" s="148" customFormat="1" ht="16" customHeight="1">
      <c r="A4" s="141" t="s">
        <v>137</v>
      </c>
      <c r="B4" s="142">
        <v>3470000</v>
      </c>
      <c r="C4" s="143">
        <v>28</v>
      </c>
      <c r="D4" s="143">
        <v>13</v>
      </c>
      <c r="E4" s="143">
        <v>27</v>
      </c>
      <c r="F4" s="143">
        <f t="shared" ref="F4:F19" si="0">F27/4*3</f>
        <v>24</v>
      </c>
      <c r="G4" s="144">
        <f>100-SUM(C4:F4)</f>
        <v>8</v>
      </c>
      <c r="H4" s="145">
        <f t="shared" ref="H4:H13" si="1">SUM(C4:G4)</f>
        <v>100</v>
      </c>
      <c r="I4" s="146">
        <v>1.4530000000000001</v>
      </c>
      <c r="J4" s="147">
        <f t="shared" ref="J4:J19" si="2">B4*I4</f>
        <v>5041910</v>
      </c>
    </row>
    <row r="5" spans="1:10" s="148" customFormat="1" ht="16" customHeight="1">
      <c r="A5" s="141" t="s">
        <v>142</v>
      </c>
      <c r="B5" s="142">
        <v>551767</v>
      </c>
      <c r="C5" s="143">
        <v>21</v>
      </c>
      <c r="D5" s="143">
        <v>25</v>
      </c>
      <c r="E5" s="143">
        <v>14</v>
      </c>
      <c r="F5" s="143">
        <f t="shared" si="0"/>
        <v>30</v>
      </c>
      <c r="G5" s="144">
        <f t="shared" ref="G5:G19" si="3">100-SUM(C5:F5)</f>
        <v>10</v>
      </c>
      <c r="H5" s="145">
        <f t="shared" si="1"/>
        <v>100</v>
      </c>
      <c r="I5" s="146">
        <v>1.4770000000000001</v>
      </c>
      <c r="J5" s="147">
        <f t="shared" si="2"/>
        <v>814959.85900000005</v>
      </c>
    </row>
    <row r="6" spans="1:10" s="148" customFormat="1" ht="16" customHeight="1">
      <c r="A6" s="141" t="s">
        <v>144</v>
      </c>
      <c r="B6" s="142">
        <v>536308</v>
      </c>
      <c r="C6" s="143">
        <v>21.8</v>
      </c>
      <c r="D6" s="143">
        <v>16</v>
      </c>
      <c r="E6" s="143">
        <v>21</v>
      </c>
      <c r="F6" s="143">
        <f t="shared" si="0"/>
        <v>30.974999999999998</v>
      </c>
      <c r="G6" s="144">
        <f t="shared" si="3"/>
        <v>10.225000000000009</v>
      </c>
      <c r="H6" s="145">
        <f t="shared" si="1"/>
        <v>100</v>
      </c>
      <c r="I6" s="146">
        <v>1.64</v>
      </c>
      <c r="J6" s="147">
        <f t="shared" si="2"/>
        <v>879545.12</v>
      </c>
    </row>
    <row r="7" spans="1:10" s="148" customFormat="1" ht="16" customHeight="1">
      <c r="A7" s="141" t="s">
        <v>140</v>
      </c>
      <c r="B7" s="142">
        <v>604527</v>
      </c>
      <c r="C7" s="143">
        <v>31.4</v>
      </c>
      <c r="D7" s="143">
        <v>12.5</v>
      </c>
      <c r="E7" s="143">
        <v>22.1</v>
      </c>
      <c r="F7" s="143">
        <f t="shared" si="0"/>
        <v>25.200000000000003</v>
      </c>
      <c r="G7" s="144">
        <f t="shared" si="3"/>
        <v>8.7999999999999972</v>
      </c>
      <c r="H7" s="145">
        <f t="shared" si="1"/>
        <v>100</v>
      </c>
      <c r="I7" s="146">
        <v>1.42</v>
      </c>
      <c r="J7" s="147">
        <f t="shared" si="2"/>
        <v>858428.34</v>
      </c>
    </row>
    <row r="8" spans="1:10" s="148" customFormat="1" ht="16" customHeight="1">
      <c r="A8" s="141" t="s">
        <v>149</v>
      </c>
      <c r="B8" s="142">
        <v>206219</v>
      </c>
      <c r="C8" s="143">
        <v>28.5</v>
      </c>
      <c r="D8" s="143">
        <v>8.3000000000000007</v>
      </c>
      <c r="E8" s="143">
        <v>23.8</v>
      </c>
      <c r="F8" s="143">
        <f t="shared" si="0"/>
        <v>29.549999999999997</v>
      </c>
      <c r="G8" s="144">
        <f t="shared" si="3"/>
        <v>9.8500000000000085</v>
      </c>
      <c r="H8" s="145">
        <f t="shared" si="1"/>
        <v>100</v>
      </c>
      <c r="I8" s="146">
        <v>1.8069999999999999</v>
      </c>
      <c r="J8" s="147">
        <f t="shared" si="2"/>
        <v>372637.73300000001</v>
      </c>
    </row>
    <row r="9" spans="1:10" s="148" customFormat="1" ht="16" customHeight="1">
      <c r="A9" s="141" t="s">
        <v>138</v>
      </c>
      <c r="B9" s="142">
        <v>1763000</v>
      </c>
      <c r="C9" s="143">
        <v>28</v>
      </c>
      <c r="D9" s="143">
        <v>12</v>
      </c>
      <c r="E9" s="143">
        <v>18</v>
      </c>
      <c r="F9" s="143">
        <f t="shared" si="0"/>
        <v>31.5</v>
      </c>
      <c r="G9" s="144">
        <f t="shared" si="3"/>
        <v>10.5</v>
      </c>
      <c r="H9" s="145">
        <f t="shared" si="1"/>
        <v>100</v>
      </c>
      <c r="I9" s="146">
        <v>1.45</v>
      </c>
      <c r="J9" s="147">
        <f t="shared" si="2"/>
        <v>2556350</v>
      </c>
    </row>
    <row r="10" spans="1:10" s="148" customFormat="1" ht="16" customHeight="1">
      <c r="A10" s="141" t="s">
        <v>143</v>
      </c>
      <c r="B10" s="142">
        <v>523642</v>
      </c>
      <c r="C10" s="143">
        <v>25</v>
      </c>
      <c r="D10" s="143">
        <v>19</v>
      </c>
      <c r="E10" s="143">
        <v>19</v>
      </c>
      <c r="F10" s="143">
        <f t="shared" si="0"/>
        <v>28.5</v>
      </c>
      <c r="G10" s="144">
        <f t="shared" si="3"/>
        <v>8.5</v>
      </c>
      <c r="H10" s="145">
        <f t="shared" si="1"/>
        <v>100</v>
      </c>
      <c r="I10" s="146">
        <v>1.5009999999999999</v>
      </c>
      <c r="J10" s="147">
        <f t="shared" si="2"/>
        <v>785986.64199999999</v>
      </c>
    </row>
    <row r="11" spans="1:10" s="148" customFormat="1" ht="16" customHeight="1">
      <c r="A11" s="141" t="s">
        <v>145</v>
      </c>
      <c r="B11" s="142">
        <v>243148</v>
      </c>
      <c r="C11" s="143">
        <v>28.2</v>
      </c>
      <c r="D11" s="143">
        <v>20.7</v>
      </c>
      <c r="E11" s="143">
        <v>9.8000000000000007</v>
      </c>
      <c r="F11" s="143">
        <f t="shared" si="0"/>
        <v>30.974999999999998</v>
      </c>
      <c r="G11" s="144">
        <f t="shared" si="3"/>
        <v>10.325000000000003</v>
      </c>
      <c r="H11" s="145">
        <f t="shared" si="1"/>
        <v>100</v>
      </c>
      <c r="I11" s="146">
        <v>1.609</v>
      </c>
      <c r="J11" s="147">
        <f t="shared" si="2"/>
        <v>391225.13199999998</v>
      </c>
    </row>
    <row r="12" spans="1:10" s="148" customFormat="1" ht="16" customHeight="1">
      <c r="A12" s="141" t="s">
        <v>148</v>
      </c>
      <c r="B12" s="142">
        <v>232306</v>
      </c>
      <c r="C12" s="143">
        <v>20.9</v>
      </c>
      <c r="D12" s="143">
        <v>9.8000000000000007</v>
      </c>
      <c r="E12" s="143">
        <v>20.7</v>
      </c>
      <c r="F12" s="143">
        <f t="shared" si="0"/>
        <v>34.125</v>
      </c>
      <c r="G12" s="144">
        <f t="shared" si="3"/>
        <v>14.474999999999994</v>
      </c>
      <c r="H12" s="145">
        <f t="shared" si="1"/>
        <v>100</v>
      </c>
      <c r="I12" s="146">
        <v>1.966</v>
      </c>
      <c r="J12" s="147">
        <f t="shared" si="2"/>
        <v>456713.59600000002</v>
      </c>
    </row>
    <row r="13" spans="1:10" s="148" customFormat="1" ht="16" customHeight="1">
      <c r="A13" s="141" t="s">
        <v>151</v>
      </c>
      <c r="B13" s="142">
        <v>206991</v>
      </c>
      <c r="C13" s="143">
        <v>34.4</v>
      </c>
      <c r="D13" s="143">
        <v>11.6</v>
      </c>
      <c r="E13" s="143">
        <v>19.2</v>
      </c>
      <c r="F13" s="143">
        <f t="shared" si="0"/>
        <v>26.099999999999998</v>
      </c>
      <c r="G13" s="144">
        <f t="shared" si="3"/>
        <v>8.7000000000000028</v>
      </c>
      <c r="H13" s="145">
        <f t="shared" si="1"/>
        <v>100</v>
      </c>
      <c r="I13" s="146">
        <v>1.5620000000000001</v>
      </c>
      <c r="J13" s="147">
        <f t="shared" si="2"/>
        <v>323319.94200000004</v>
      </c>
    </row>
    <row r="14" spans="1:10" s="148" customFormat="1" ht="16" customHeight="1">
      <c r="A14" s="141" t="s">
        <v>139</v>
      </c>
      <c r="B14" s="142">
        <v>1430000</v>
      </c>
      <c r="C14" s="143">
        <v>27.2</v>
      </c>
      <c r="D14" s="143">
        <v>17.399999999999999</v>
      </c>
      <c r="E14" s="143">
        <v>22.8</v>
      </c>
      <c r="F14" s="143">
        <f t="shared" si="0"/>
        <v>24.375</v>
      </c>
      <c r="G14" s="144">
        <f t="shared" si="3"/>
        <v>8.2250000000000085</v>
      </c>
      <c r="H14" s="145">
        <f t="shared" ref="H14" si="4">SUM(C14:G14)</f>
        <v>100</v>
      </c>
      <c r="I14" s="146">
        <v>1.397</v>
      </c>
      <c r="J14" s="147">
        <f t="shared" si="2"/>
        <v>1997710</v>
      </c>
    </row>
    <row r="15" spans="1:10" s="148" customFormat="1" ht="16" customHeight="1">
      <c r="A15" s="141" t="s">
        <v>147</v>
      </c>
      <c r="B15" s="142">
        <v>164042</v>
      </c>
      <c r="C15" s="143">
        <v>23.8</v>
      </c>
      <c r="D15" s="143">
        <v>20.100000000000001</v>
      </c>
      <c r="E15" s="143">
        <v>19.3</v>
      </c>
      <c r="F15" s="143">
        <f t="shared" si="0"/>
        <v>27.299999999999997</v>
      </c>
      <c r="G15" s="144">
        <f t="shared" si="3"/>
        <v>9.5</v>
      </c>
      <c r="H15" s="145">
        <f>SUM(C15:G15)</f>
        <v>100</v>
      </c>
      <c r="I15" s="146">
        <v>1.62</v>
      </c>
      <c r="J15" s="147">
        <f t="shared" si="2"/>
        <v>265748.04000000004</v>
      </c>
    </row>
    <row r="16" spans="1:10" s="148" customFormat="1" ht="16" customHeight="1">
      <c r="A16" s="141" t="s">
        <v>152</v>
      </c>
      <c r="B16" s="142">
        <v>176926</v>
      </c>
      <c r="C16" s="143">
        <v>23</v>
      </c>
      <c r="D16" s="143">
        <v>4</v>
      </c>
      <c r="E16" s="143">
        <v>17</v>
      </c>
      <c r="F16" s="143">
        <f t="shared" si="0"/>
        <v>42</v>
      </c>
      <c r="G16" s="144">
        <f t="shared" si="3"/>
        <v>14</v>
      </c>
      <c r="H16" s="145">
        <f>SUM(C16:G16)</f>
        <v>100</v>
      </c>
      <c r="I16" s="146">
        <v>2.2509999999999999</v>
      </c>
      <c r="J16" s="147">
        <f t="shared" si="2"/>
        <v>398260.42599999998</v>
      </c>
    </row>
    <row r="17" spans="1:10" s="148" customFormat="1" ht="16" customHeight="1">
      <c r="A17" s="141" t="s">
        <v>146</v>
      </c>
      <c r="B17" s="142">
        <v>102878</v>
      </c>
      <c r="C17" s="143">
        <v>30</v>
      </c>
      <c r="D17" s="143">
        <v>9</v>
      </c>
      <c r="E17" s="143">
        <v>17</v>
      </c>
      <c r="F17" s="143">
        <f t="shared" si="0"/>
        <v>33</v>
      </c>
      <c r="G17" s="144">
        <f t="shared" si="3"/>
        <v>11</v>
      </c>
      <c r="H17" s="145">
        <f>SUM(C17:G17)</f>
        <v>100</v>
      </c>
      <c r="I17" s="146">
        <v>1.837</v>
      </c>
      <c r="J17" s="147">
        <f t="shared" si="2"/>
        <v>188986.886</v>
      </c>
    </row>
    <row r="18" spans="1:10" s="148" customFormat="1" ht="16" customHeight="1">
      <c r="A18" s="141" t="s">
        <v>141</v>
      </c>
      <c r="B18" s="142">
        <v>612441</v>
      </c>
      <c r="C18" s="143">
        <v>26</v>
      </c>
      <c r="D18" s="143">
        <v>5</v>
      </c>
      <c r="E18" s="143">
        <v>24</v>
      </c>
      <c r="F18" s="143">
        <f t="shared" si="0"/>
        <v>33.75</v>
      </c>
      <c r="G18" s="144">
        <f t="shared" si="3"/>
        <v>11.25</v>
      </c>
      <c r="H18" s="145">
        <f>SUM(C18:G18)</f>
        <v>100</v>
      </c>
      <c r="I18" s="146">
        <v>1.806</v>
      </c>
      <c r="J18" s="147">
        <f t="shared" si="2"/>
        <v>1106068.446</v>
      </c>
    </row>
    <row r="19" spans="1:10" s="148" customFormat="1" ht="16" customHeight="1">
      <c r="A19" s="141" t="s">
        <v>150</v>
      </c>
      <c r="B19" s="142">
        <v>275116</v>
      </c>
      <c r="C19" s="143">
        <v>25</v>
      </c>
      <c r="D19" s="143">
        <v>3</v>
      </c>
      <c r="E19" s="143">
        <v>15</v>
      </c>
      <c r="F19" s="143">
        <f t="shared" si="0"/>
        <v>42</v>
      </c>
      <c r="G19" s="144">
        <f t="shared" si="3"/>
        <v>15</v>
      </c>
      <c r="H19" s="145">
        <f>SUM(C19:G19)</f>
        <v>100</v>
      </c>
      <c r="I19" s="146">
        <v>2.2160000000000002</v>
      </c>
      <c r="J19" s="147">
        <f t="shared" si="2"/>
        <v>609657.0560000001</v>
      </c>
    </row>
    <row r="21" spans="1:10">
      <c r="A21" s="136" t="s">
        <v>209</v>
      </c>
    </row>
    <row r="22" spans="1:10">
      <c r="A22" s="136" t="s">
        <v>208</v>
      </c>
    </row>
    <row r="23" spans="1:10" ht="46" customHeight="1">
      <c r="A23" s="180" t="s">
        <v>193</v>
      </c>
      <c r="B23" s="180"/>
      <c r="C23" s="180"/>
      <c r="D23" s="180"/>
      <c r="E23" s="180"/>
      <c r="F23" s="180"/>
      <c r="G23" s="180"/>
      <c r="H23" s="180"/>
      <c r="I23" s="180"/>
      <c r="J23" s="180"/>
    </row>
    <row r="24" spans="1:10">
      <c r="A24" s="136"/>
      <c r="B24" s="87"/>
    </row>
    <row r="25" spans="1:10" ht="32" customHeight="1">
      <c r="A25" s="181" t="s">
        <v>194</v>
      </c>
      <c r="B25" s="181"/>
      <c r="C25" s="181"/>
      <c r="D25" s="181"/>
      <c r="E25" s="181"/>
      <c r="F25" s="181"/>
      <c r="G25" s="181"/>
      <c r="H25" s="181"/>
      <c r="I25" s="181"/>
      <c r="J25" s="181"/>
    </row>
    <row r="26" spans="1:10" s="81" customFormat="1" ht="43" customHeight="1">
      <c r="A26" s="140" t="s">
        <v>136</v>
      </c>
      <c r="B26" s="140" t="s">
        <v>185</v>
      </c>
      <c r="C26" s="140" t="s">
        <v>186</v>
      </c>
      <c r="D26" s="140" t="s">
        <v>187</v>
      </c>
      <c r="E26" s="140" t="s">
        <v>188</v>
      </c>
      <c r="F26" s="140" t="s">
        <v>189</v>
      </c>
      <c r="G26" s="140" t="s">
        <v>190</v>
      </c>
      <c r="H26" s="140" t="s">
        <v>184</v>
      </c>
    </row>
    <row r="27" spans="1:10">
      <c r="A27" s="137" t="s">
        <v>137</v>
      </c>
      <c r="B27" s="196">
        <v>3470000</v>
      </c>
      <c r="C27" s="197">
        <v>28</v>
      </c>
      <c r="D27" s="197">
        <v>13</v>
      </c>
      <c r="E27" s="197">
        <v>27</v>
      </c>
      <c r="F27" s="197">
        <v>32</v>
      </c>
      <c r="G27" s="197"/>
      <c r="H27" s="138">
        <f t="shared" ref="H27:H42" si="5">SUM(C27:F27)</f>
        <v>100</v>
      </c>
      <c r="J27" s="82"/>
    </row>
    <row r="28" spans="1:10">
      <c r="A28" s="137" t="s">
        <v>142</v>
      </c>
      <c r="B28" s="196">
        <v>551767</v>
      </c>
      <c r="C28" s="197">
        <v>21</v>
      </c>
      <c r="D28" s="197">
        <v>25</v>
      </c>
      <c r="E28" s="197">
        <v>14</v>
      </c>
      <c r="F28" s="197">
        <v>40</v>
      </c>
      <c r="G28" s="197"/>
      <c r="H28" s="138">
        <f t="shared" si="5"/>
        <v>100</v>
      </c>
      <c r="J28" s="82"/>
    </row>
    <row r="29" spans="1:10">
      <c r="A29" s="137" t="s">
        <v>144</v>
      </c>
      <c r="B29" s="196">
        <v>536308</v>
      </c>
      <c r="C29" s="197">
        <v>21.8</v>
      </c>
      <c r="D29" s="197">
        <v>16</v>
      </c>
      <c r="E29" s="197">
        <v>21</v>
      </c>
      <c r="F29" s="197">
        <v>41.3</v>
      </c>
      <c r="G29" s="197"/>
      <c r="H29" s="138">
        <f t="shared" si="5"/>
        <v>100.1</v>
      </c>
      <c r="J29" s="82"/>
    </row>
    <row r="30" spans="1:10">
      <c r="A30" s="137" t="s">
        <v>140</v>
      </c>
      <c r="B30" s="196">
        <v>604527</v>
      </c>
      <c r="C30" s="197">
        <v>31.4</v>
      </c>
      <c r="D30" s="197">
        <v>12.5</v>
      </c>
      <c r="E30" s="197">
        <v>22.1</v>
      </c>
      <c r="F30" s="197">
        <v>33.6</v>
      </c>
      <c r="G30" s="197"/>
      <c r="H30" s="138">
        <f t="shared" si="5"/>
        <v>99.6</v>
      </c>
      <c r="J30" s="82"/>
    </row>
    <row r="31" spans="1:10">
      <c r="A31" s="137" t="s">
        <v>149</v>
      </c>
      <c r="B31" s="196">
        <v>206219</v>
      </c>
      <c r="C31" s="197">
        <v>28.5</v>
      </c>
      <c r="D31" s="197">
        <v>8.3000000000000007</v>
      </c>
      <c r="E31" s="197">
        <v>23.8</v>
      </c>
      <c r="F31" s="197">
        <v>39.4</v>
      </c>
      <c r="G31" s="197"/>
      <c r="H31" s="138">
        <f t="shared" si="5"/>
        <v>100</v>
      </c>
      <c r="J31" s="82"/>
    </row>
    <row r="32" spans="1:10">
      <c r="A32" s="137" t="s">
        <v>138</v>
      </c>
      <c r="B32" s="196">
        <v>1763000</v>
      </c>
      <c r="C32" s="197">
        <v>28</v>
      </c>
      <c r="D32" s="197">
        <v>12</v>
      </c>
      <c r="E32" s="197">
        <v>18</v>
      </c>
      <c r="F32" s="197">
        <v>42</v>
      </c>
      <c r="G32" s="197"/>
      <c r="H32" s="138">
        <f t="shared" si="5"/>
        <v>100</v>
      </c>
      <c r="J32" s="82"/>
    </row>
    <row r="33" spans="1:10">
      <c r="A33" s="137" t="s">
        <v>143</v>
      </c>
      <c r="B33" s="196">
        <v>523642</v>
      </c>
      <c r="C33" s="197">
        <v>25</v>
      </c>
      <c r="D33" s="197">
        <v>19</v>
      </c>
      <c r="E33" s="197">
        <v>19</v>
      </c>
      <c r="F33" s="197">
        <v>38</v>
      </c>
      <c r="G33" s="197"/>
      <c r="H33" s="138">
        <f t="shared" si="5"/>
        <v>101</v>
      </c>
      <c r="J33" s="82"/>
    </row>
    <row r="34" spans="1:10">
      <c r="A34" s="137" t="s">
        <v>145</v>
      </c>
      <c r="B34" s="196">
        <v>243148</v>
      </c>
      <c r="C34" s="197">
        <v>28.2</v>
      </c>
      <c r="D34" s="197">
        <v>20.7</v>
      </c>
      <c r="E34" s="197">
        <v>9.8000000000000007</v>
      </c>
      <c r="F34" s="197">
        <v>41.3</v>
      </c>
      <c r="G34" s="197"/>
      <c r="H34" s="138">
        <f t="shared" si="5"/>
        <v>100</v>
      </c>
      <c r="J34" s="82"/>
    </row>
    <row r="35" spans="1:10">
      <c r="A35" s="137" t="s">
        <v>148</v>
      </c>
      <c r="B35" s="196">
        <v>232306</v>
      </c>
      <c r="C35" s="197">
        <v>20.9</v>
      </c>
      <c r="D35" s="197">
        <v>9.8000000000000007</v>
      </c>
      <c r="E35" s="197">
        <v>20.7</v>
      </c>
      <c r="F35" s="197">
        <v>45.5</v>
      </c>
      <c r="G35" s="197"/>
      <c r="H35" s="138">
        <f t="shared" si="5"/>
        <v>96.9</v>
      </c>
      <c r="J35" s="82"/>
    </row>
    <row r="36" spans="1:10">
      <c r="A36" s="137" t="s">
        <v>151</v>
      </c>
      <c r="B36" s="196">
        <v>206991</v>
      </c>
      <c r="C36" s="197">
        <v>34.4</v>
      </c>
      <c r="D36" s="197">
        <v>11.6</v>
      </c>
      <c r="E36" s="197">
        <v>19.2</v>
      </c>
      <c r="F36" s="197">
        <v>34.799999999999997</v>
      </c>
      <c r="G36" s="197"/>
      <c r="H36" s="138">
        <f t="shared" si="5"/>
        <v>100</v>
      </c>
      <c r="J36" s="82"/>
    </row>
    <row r="37" spans="1:10">
      <c r="A37" s="137" t="s">
        <v>139</v>
      </c>
      <c r="B37" s="196">
        <v>1430000</v>
      </c>
      <c r="C37" s="197">
        <v>27.2</v>
      </c>
      <c r="D37" s="197">
        <v>17.399999999999999</v>
      </c>
      <c r="E37" s="197">
        <v>22.8</v>
      </c>
      <c r="F37" s="197">
        <v>32.5</v>
      </c>
      <c r="G37" s="197"/>
      <c r="H37" s="138">
        <f t="shared" si="5"/>
        <v>99.899999999999991</v>
      </c>
      <c r="J37" s="82"/>
    </row>
    <row r="38" spans="1:10">
      <c r="A38" s="137" t="s">
        <v>147</v>
      </c>
      <c r="B38" s="196">
        <v>164042</v>
      </c>
      <c r="C38" s="197">
        <v>23.8</v>
      </c>
      <c r="D38" s="197">
        <v>20.100000000000001</v>
      </c>
      <c r="E38" s="197">
        <v>19.3</v>
      </c>
      <c r="F38" s="197">
        <v>36.4</v>
      </c>
      <c r="G38" s="197"/>
      <c r="H38" s="138">
        <f t="shared" si="5"/>
        <v>99.6</v>
      </c>
      <c r="J38" s="82"/>
    </row>
    <row r="39" spans="1:10">
      <c r="A39" s="137" t="s">
        <v>152</v>
      </c>
      <c r="B39" s="196">
        <v>176926</v>
      </c>
      <c r="C39" s="197">
        <v>23</v>
      </c>
      <c r="D39" s="197">
        <v>4</v>
      </c>
      <c r="E39" s="197">
        <v>17</v>
      </c>
      <c r="F39" s="197">
        <v>56</v>
      </c>
      <c r="G39" s="197"/>
      <c r="H39" s="138">
        <f t="shared" si="5"/>
        <v>100</v>
      </c>
      <c r="J39" s="82"/>
    </row>
    <row r="40" spans="1:10">
      <c r="A40" s="137" t="s">
        <v>146</v>
      </c>
      <c r="B40" s="196">
        <v>102878</v>
      </c>
      <c r="C40" s="197">
        <v>30</v>
      </c>
      <c r="D40" s="197">
        <v>9</v>
      </c>
      <c r="E40" s="197">
        <v>17</v>
      </c>
      <c r="F40" s="197">
        <v>44</v>
      </c>
      <c r="G40" s="197"/>
      <c r="H40" s="138">
        <f t="shared" si="5"/>
        <v>100</v>
      </c>
      <c r="J40" s="82"/>
    </row>
    <row r="41" spans="1:10">
      <c r="A41" s="137" t="s">
        <v>141</v>
      </c>
      <c r="B41" s="196">
        <v>612441</v>
      </c>
      <c r="C41" s="197">
        <v>26</v>
      </c>
      <c r="D41" s="197">
        <v>5</v>
      </c>
      <c r="E41" s="197">
        <v>24</v>
      </c>
      <c r="F41" s="197">
        <v>45</v>
      </c>
      <c r="G41" s="197"/>
      <c r="H41" s="138">
        <f t="shared" si="5"/>
        <v>100</v>
      </c>
      <c r="J41" s="82"/>
    </row>
    <row r="42" spans="1:10">
      <c r="A42" s="137" t="s">
        <v>150</v>
      </c>
      <c r="B42" s="196">
        <v>275116</v>
      </c>
      <c r="C42" s="197">
        <v>25</v>
      </c>
      <c r="D42" s="197">
        <v>3</v>
      </c>
      <c r="E42" s="197">
        <v>15</v>
      </c>
      <c r="F42" s="197">
        <v>56</v>
      </c>
      <c r="G42" s="197"/>
      <c r="H42" s="138">
        <f t="shared" si="5"/>
        <v>99</v>
      </c>
      <c r="J42" s="82"/>
    </row>
    <row r="43" spans="1:10">
      <c r="B43" s="87"/>
      <c r="J43" s="82"/>
    </row>
    <row r="44" spans="1:10" ht="15">
      <c r="A44" s="195" t="s">
        <v>126</v>
      </c>
      <c r="B44" s="89" t="s">
        <v>124</v>
      </c>
    </row>
    <row r="45" spans="1:10" ht="15">
      <c r="A45" s="91" t="s">
        <v>126</v>
      </c>
      <c r="B45" s="89" t="s">
        <v>168</v>
      </c>
    </row>
    <row r="46" spans="1:10" ht="15">
      <c r="A46" s="92" t="s">
        <v>126</v>
      </c>
      <c r="B46" s="89" t="s">
        <v>169</v>
      </c>
    </row>
    <row r="47" spans="1:10" ht="15">
      <c r="A47" s="93" t="s">
        <v>126</v>
      </c>
      <c r="B47" s="89" t="s">
        <v>170</v>
      </c>
    </row>
  </sheetData>
  <autoFilter ref="A3:J3"/>
  <sortState ref="A39:K53">
    <sortCondition ref="A38"/>
  </sortState>
  <mergeCells count="3">
    <mergeCell ref="A1:J2"/>
    <mergeCell ref="A23:J23"/>
    <mergeCell ref="A25:J2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election activeCell="K36" sqref="K36"/>
    </sheetView>
  </sheetViews>
  <sheetFormatPr baseColWidth="10" defaultRowHeight="14" x14ac:dyDescent="0"/>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election activeCell="A24" sqref="A24"/>
    </sheetView>
  </sheetViews>
  <sheetFormatPr baseColWidth="10" defaultRowHeight="14" x14ac:dyDescent="0"/>
  <cols>
    <col min="1" max="1" width="15.5" customWidth="1"/>
    <col min="2" max="2" width="11" style="57" bestFit="1" customWidth="1"/>
    <col min="3" max="3" width="90.1640625" customWidth="1"/>
  </cols>
  <sheetData>
    <row r="1" spans="1:3" s="59" customFormat="1" ht="24" customHeight="1">
      <c r="A1" s="113" t="s">
        <v>15</v>
      </c>
      <c r="B1" s="114" t="s">
        <v>16</v>
      </c>
      <c r="C1" s="115" t="s">
        <v>175</v>
      </c>
    </row>
    <row r="2" spans="1:3" s="59" customFormat="1" ht="64" customHeight="1">
      <c r="A2" s="88" t="s">
        <v>17</v>
      </c>
      <c r="B2" s="110">
        <v>0</v>
      </c>
      <c r="C2" s="111"/>
    </row>
    <row r="3" spans="1:3" s="59" customFormat="1" ht="64" customHeight="1">
      <c r="A3" s="88" t="s">
        <v>18</v>
      </c>
      <c r="B3" s="110">
        <v>0</v>
      </c>
      <c r="C3" s="111"/>
    </row>
    <row r="4" spans="1:3" s="59" customFormat="1" ht="64" customHeight="1">
      <c r="A4" s="88" t="s">
        <v>19</v>
      </c>
      <c r="B4" s="110">
        <f>(74+72+74)/3</f>
        <v>73.333333333333329</v>
      </c>
      <c r="C4" s="111" t="s">
        <v>103</v>
      </c>
    </row>
    <row r="5" spans="1:3" s="59" customFormat="1" ht="64" customHeight="1">
      <c r="A5" s="88" t="s">
        <v>20</v>
      </c>
      <c r="B5" s="110">
        <v>204.6</v>
      </c>
      <c r="C5" s="111" t="s">
        <v>102</v>
      </c>
    </row>
    <row r="6" spans="1:3" s="59" customFormat="1" ht="64" customHeight="1">
      <c r="A6" s="88" t="s">
        <v>21</v>
      </c>
      <c r="B6" s="110">
        <f>0.4*2752/100</f>
        <v>11.007999999999999</v>
      </c>
      <c r="C6" s="111" t="s">
        <v>105</v>
      </c>
    </row>
    <row r="7" spans="1:3" s="59" customFormat="1" ht="24" customHeight="1">
      <c r="B7" s="60"/>
    </row>
    <row r="8" spans="1:3" s="59" customFormat="1" ht="24" customHeight="1">
      <c r="A8" s="112"/>
      <c r="B8" s="60" t="s">
        <v>104</v>
      </c>
    </row>
    <row r="10" spans="1:3" ht="15">
      <c r="A10" s="91" t="s">
        <v>126</v>
      </c>
      <c r="B10" s="89" t="s">
        <v>168</v>
      </c>
    </row>
    <row r="13" spans="1:3" ht="14" customHeight="1">
      <c r="A13" s="159" t="s">
        <v>210</v>
      </c>
      <c r="B13" s="159"/>
      <c r="C13" s="159"/>
    </row>
    <row r="14" spans="1:3">
      <c r="A14" s="159"/>
      <c r="B14" s="159"/>
      <c r="C14" s="159"/>
    </row>
    <row r="15" spans="1:3">
      <c r="A15" s="159"/>
      <c r="B15" s="159"/>
      <c r="C15" s="159"/>
    </row>
    <row r="17" spans="1:3">
      <c r="A17" s="159" t="s">
        <v>211</v>
      </c>
      <c r="B17" s="159"/>
      <c r="C17" s="159"/>
    </row>
    <row r="18" spans="1:3">
      <c r="A18" s="159"/>
      <c r="B18" s="159"/>
      <c r="C18" s="159"/>
    </row>
    <row r="19" spans="1:3">
      <c r="A19" s="159"/>
      <c r="B19" s="159"/>
      <c r="C19" s="159"/>
    </row>
    <row r="21" spans="1:3">
      <c r="A21" s="159" t="s">
        <v>212</v>
      </c>
      <c r="B21" s="159"/>
      <c r="C21" s="159"/>
    </row>
    <row r="22" spans="1:3">
      <c r="A22" s="159"/>
      <c r="B22" s="159"/>
      <c r="C22" s="159"/>
    </row>
    <row r="23" spans="1:3">
      <c r="A23" s="159"/>
      <c r="B23" s="159"/>
      <c r="C23" s="159"/>
    </row>
  </sheetData>
  <mergeCells count="3">
    <mergeCell ref="A13:C15"/>
    <mergeCell ref="A17:C19"/>
    <mergeCell ref="A21:C23"/>
  </mergeCells>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activeCell="A18" sqref="A18:B19"/>
    </sheetView>
  </sheetViews>
  <sheetFormatPr baseColWidth="10" defaultRowHeight="14" x14ac:dyDescent="0"/>
  <cols>
    <col min="1" max="1" width="15.83203125" customWidth="1"/>
    <col min="2" max="2" width="33" customWidth="1"/>
  </cols>
  <sheetData>
    <row r="1" spans="1:6" ht="50" customHeight="1">
      <c r="A1" s="182" t="s">
        <v>179</v>
      </c>
      <c r="B1" s="182"/>
    </row>
    <row r="2" spans="1:6" s="59" customFormat="1" ht="34" customHeight="1">
      <c r="A2" s="124" t="s">
        <v>75</v>
      </c>
      <c r="B2" s="125" t="s">
        <v>0</v>
      </c>
    </row>
    <row r="3" spans="1:6" s="59" customFormat="1" ht="22" customHeight="1">
      <c r="A3" s="122">
        <v>1</v>
      </c>
      <c r="B3" s="123" t="s">
        <v>1</v>
      </c>
    </row>
    <row r="4" spans="1:6" s="59" customFormat="1" ht="22" customHeight="1">
      <c r="A4" s="122">
        <v>2</v>
      </c>
      <c r="B4" s="123" t="s">
        <v>2</v>
      </c>
    </row>
    <row r="5" spans="1:6" s="59" customFormat="1" ht="22" customHeight="1">
      <c r="A5" s="122">
        <v>3</v>
      </c>
      <c r="B5" s="123" t="s">
        <v>3</v>
      </c>
    </row>
    <row r="6" spans="1:6" s="59" customFormat="1" ht="22" customHeight="1">
      <c r="A6" s="122">
        <v>4</v>
      </c>
      <c r="B6" s="123" t="s">
        <v>4</v>
      </c>
    </row>
    <row r="7" spans="1:6" s="59" customFormat="1" ht="22" customHeight="1">
      <c r="A7" s="122">
        <v>5</v>
      </c>
      <c r="B7" s="123" t="s">
        <v>5</v>
      </c>
    </row>
    <row r="8" spans="1:6" s="59" customFormat="1" ht="22" customHeight="1">
      <c r="A8" s="122">
        <v>6</v>
      </c>
      <c r="B8" s="123" t="s">
        <v>6</v>
      </c>
    </row>
    <row r="9" spans="1:6" s="59" customFormat="1" ht="22" customHeight="1">
      <c r="A9" s="122">
        <v>7</v>
      </c>
      <c r="B9" s="123" t="s">
        <v>7</v>
      </c>
    </row>
    <row r="11" spans="1:6" ht="34" customHeight="1">
      <c r="A11" s="126" t="s">
        <v>178</v>
      </c>
      <c r="B11" s="125" t="s">
        <v>177</v>
      </c>
    </row>
    <row r="12" spans="1:6">
      <c r="A12" s="127">
        <f>IF(B12&gt;499999,A3,(IF(B12&gt;99999,A4,(IF(B12&gt;49999,A5,(IF(B12&gt;19999,A6,(IF(B12&gt;4999,A7,(IF(B12&gt;1999,A8,A9)))))))))))</f>
        <v>2</v>
      </c>
      <c r="B12" s="128">
        <f>'CO2-Rechner'!E3</f>
        <v>100000</v>
      </c>
    </row>
    <row r="14" spans="1:6">
      <c r="A14" s="121"/>
      <c r="B14" s="183" t="s">
        <v>180</v>
      </c>
      <c r="C14" s="183"/>
      <c r="D14" s="183"/>
      <c r="E14" s="183"/>
      <c r="F14" s="183"/>
    </row>
    <row r="15" spans="1:6" ht="47" customHeight="1">
      <c r="A15" s="121"/>
      <c r="B15" s="183"/>
      <c r="C15" s="183"/>
      <c r="D15" s="183"/>
      <c r="E15" s="183"/>
      <c r="F15" s="183"/>
    </row>
    <row r="16" spans="1:6" ht="15">
      <c r="A16" s="92" t="s">
        <v>126</v>
      </c>
      <c r="B16" s="89" t="s">
        <v>169</v>
      </c>
    </row>
    <row r="18" spans="1:2" ht="15">
      <c r="A18" s="91" t="s">
        <v>126</v>
      </c>
      <c r="B18" s="89" t="s">
        <v>168</v>
      </c>
    </row>
    <row r="19" spans="1:2" ht="15">
      <c r="A19" s="92" t="s">
        <v>126</v>
      </c>
      <c r="B19" s="89" t="s">
        <v>169</v>
      </c>
    </row>
  </sheetData>
  <mergeCells count="2">
    <mergeCell ref="A1:B1"/>
    <mergeCell ref="B14:F15"/>
  </mergeCells>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election activeCell="A18" sqref="A18:B19"/>
    </sheetView>
  </sheetViews>
  <sheetFormatPr baseColWidth="10" defaultRowHeight="14" x14ac:dyDescent="0"/>
  <cols>
    <col min="1" max="1" width="15.6640625" customWidth="1"/>
    <col min="7" max="7" width="12.33203125" customWidth="1"/>
  </cols>
  <sheetData>
    <row r="1" spans="1:12" ht="28" customHeight="1">
      <c r="A1" s="184" t="s">
        <v>176</v>
      </c>
      <c r="B1" s="184"/>
      <c r="C1" s="184"/>
      <c r="D1" s="184"/>
      <c r="E1" s="184"/>
      <c r="F1" s="184"/>
    </row>
    <row r="2" spans="1:12" ht="45" customHeight="1">
      <c r="A2" s="117" t="s">
        <v>31</v>
      </c>
      <c r="B2" s="117" t="s">
        <v>9</v>
      </c>
      <c r="C2" s="117" t="s">
        <v>10</v>
      </c>
      <c r="D2" s="117" t="s">
        <v>11</v>
      </c>
      <c r="E2" s="117" t="s">
        <v>12</v>
      </c>
      <c r="F2" s="117" t="s">
        <v>13</v>
      </c>
    </row>
    <row r="3" spans="1:12">
      <c r="A3" s="118">
        <v>1</v>
      </c>
      <c r="B3" s="116">
        <v>27.5</v>
      </c>
      <c r="C3" s="116">
        <v>12.1</v>
      </c>
      <c r="D3" s="116">
        <v>17.600000000000001</v>
      </c>
      <c r="E3" s="116">
        <v>31.1</v>
      </c>
      <c r="F3" s="116">
        <v>11.7</v>
      </c>
      <c r="G3" s="12"/>
    </row>
    <row r="4" spans="1:12">
      <c r="A4" s="118">
        <v>2</v>
      </c>
      <c r="B4" s="116">
        <v>26.5</v>
      </c>
      <c r="C4" s="116">
        <v>8.5</v>
      </c>
      <c r="D4" s="116">
        <v>11.9</v>
      </c>
      <c r="E4" s="116">
        <v>39.5</v>
      </c>
      <c r="F4" s="116">
        <v>13.6</v>
      </c>
      <c r="G4" s="12"/>
    </row>
    <row r="5" spans="1:12">
      <c r="A5" s="118">
        <v>3</v>
      </c>
      <c r="B5" s="116">
        <v>25</v>
      </c>
      <c r="C5" s="116">
        <v>9.6</v>
      </c>
      <c r="D5" s="116">
        <v>6.4</v>
      </c>
      <c r="E5" s="116">
        <v>43.7</v>
      </c>
      <c r="F5" s="116">
        <v>15.4</v>
      </c>
      <c r="G5" s="12"/>
    </row>
    <row r="6" spans="1:12">
      <c r="A6" s="118">
        <v>4</v>
      </c>
      <c r="B6" s="116">
        <v>22.6</v>
      </c>
      <c r="C6" s="116">
        <v>12.4</v>
      </c>
      <c r="D6" s="116">
        <v>5.9</v>
      </c>
      <c r="E6" s="116">
        <v>43.1</v>
      </c>
      <c r="F6" s="116">
        <v>16</v>
      </c>
      <c r="G6" s="12"/>
    </row>
    <row r="7" spans="1:12">
      <c r="A7" s="118">
        <v>5</v>
      </c>
      <c r="B7" s="116">
        <v>22</v>
      </c>
      <c r="C7" s="116">
        <v>9.5</v>
      </c>
      <c r="D7" s="116">
        <v>6.3</v>
      </c>
      <c r="E7" s="116">
        <v>46.3</v>
      </c>
      <c r="F7" s="116">
        <v>15.9</v>
      </c>
      <c r="G7" s="12"/>
    </row>
    <row r="8" spans="1:12">
      <c r="A8" s="118">
        <v>6</v>
      </c>
      <c r="B8" s="116">
        <v>22.2</v>
      </c>
      <c r="C8" s="116">
        <v>7</v>
      </c>
      <c r="D8" s="116">
        <v>5.2</v>
      </c>
      <c r="E8" s="116">
        <v>49.5</v>
      </c>
      <c r="F8" s="116">
        <v>16.100000000000001</v>
      </c>
      <c r="G8" s="12"/>
    </row>
    <row r="9" spans="1:12">
      <c r="A9" s="118">
        <v>7</v>
      </c>
      <c r="B9" s="116">
        <v>19.600000000000001</v>
      </c>
      <c r="C9" s="116">
        <v>7</v>
      </c>
      <c r="D9" s="116">
        <v>6.6</v>
      </c>
      <c r="E9" s="116">
        <v>50.3</v>
      </c>
      <c r="F9" s="116">
        <v>16.5</v>
      </c>
      <c r="G9" s="12"/>
    </row>
    <row r="10" spans="1:12">
      <c r="A10" s="25"/>
      <c r="B10" s="26"/>
      <c r="C10" s="26"/>
      <c r="D10" s="26"/>
      <c r="E10" s="26"/>
      <c r="F10" s="26"/>
      <c r="G10" s="12"/>
    </row>
    <row r="11" spans="1:12">
      <c r="A11" s="27" t="s">
        <v>77</v>
      </c>
      <c r="B11" s="26"/>
      <c r="C11" s="26"/>
      <c r="D11" s="26"/>
      <c r="E11" s="26"/>
      <c r="F11" s="26"/>
      <c r="G11" s="12"/>
    </row>
    <row r="12" spans="1:12" ht="28">
      <c r="A12" s="22" t="s">
        <v>31</v>
      </c>
      <c r="B12" s="22" t="s">
        <v>9</v>
      </c>
      <c r="C12" s="22" t="s">
        <v>10</v>
      </c>
      <c r="D12" s="22" t="s">
        <v>11</v>
      </c>
      <c r="E12" s="22" t="s">
        <v>12</v>
      </c>
      <c r="F12" s="22" t="s">
        <v>13</v>
      </c>
      <c r="G12" s="1"/>
      <c r="H12" s="1"/>
      <c r="I12" s="1"/>
      <c r="J12" s="1"/>
      <c r="K12" s="1"/>
      <c r="L12" s="1"/>
    </row>
    <row r="13" spans="1:12">
      <c r="A13" s="119">
        <f>Stadtgrößenzuordnung!A12</f>
        <v>2</v>
      </c>
      <c r="B13" s="120">
        <f>INDEX(B3:B9,MATCH($A$13,$A$3:$A$9,0))</f>
        <v>26.5</v>
      </c>
      <c r="C13" s="120">
        <f>INDEX(C3:C9,MATCH($A$13,$A$3:$A$9,0))</f>
        <v>8.5</v>
      </c>
      <c r="D13" s="120">
        <f>INDEX(D3:D9,MATCH($A$13,$A$3:$A$9,0))</f>
        <v>11.9</v>
      </c>
      <c r="E13" s="120">
        <f>INDEX(E3:E9,MATCH($A$13,$A$3:$A$9,0))</f>
        <v>39.5</v>
      </c>
      <c r="F13" s="120">
        <f>INDEX(F3:F9,MATCH($A$13,$A$3:$A$9,0))</f>
        <v>13.6</v>
      </c>
      <c r="G13" s="1"/>
      <c r="H13" s="1"/>
      <c r="I13" s="1"/>
      <c r="J13" s="1"/>
      <c r="K13" s="1"/>
      <c r="L13" s="1"/>
    </row>
    <row r="14" spans="1:12">
      <c r="B14" s="1"/>
      <c r="C14" s="1"/>
      <c r="D14" s="1"/>
      <c r="E14" s="1"/>
      <c r="F14" s="1"/>
      <c r="G14" s="1"/>
      <c r="H14" s="1"/>
      <c r="I14" s="1"/>
      <c r="J14" s="1"/>
      <c r="K14" s="1"/>
      <c r="L14" s="1"/>
    </row>
    <row r="15" spans="1:12">
      <c r="A15" s="121"/>
      <c r="B15" s="185" t="s">
        <v>60</v>
      </c>
      <c r="C15" s="185"/>
      <c r="D15" s="185"/>
      <c r="E15" s="185"/>
      <c r="F15" s="185"/>
      <c r="G15" s="1"/>
      <c r="H15" s="1"/>
      <c r="I15" s="1"/>
      <c r="J15" s="1"/>
      <c r="K15" s="1"/>
      <c r="L15" s="1"/>
    </row>
    <row r="16" spans="1:12">
      <c r="A16" s="121"/>
      <c r="B16" s="185"/>
      <c r="C16" s="185"/>
      <c r="D16" s="185"/>
      <c r="E16" s="185"/>
      <c r="F16" s="185"/>
      <c r="G16" s="1"/>
      <c r="H16" s="1"/>
      <c r="I16" s="1"/>
      <c r="J16" s="1"/>
      <c r="K16" s="1"/>
      <c r="L16" s="1"/>
    </row>
    <row r="17" spans="1:12">
      <c r="B17" s="1"/>
      <c r="C17" s="1"/>
      <c r="D17" s="1"/>
      <c r="E17" s="1"/>
      <c r="F17" s="1"/>
      <c r="G17" s="1"/>
      <c r="H17" s="1"/>
      <c r="I17" s="1"/>
      <c r="J17" s="1"/>
      <c r="K17" s="1"/>
      <c r="L17" s="1"/>
    </row>
    <row r="18" spans="1:12" ht="15">
      <c r="A18" s="91" t="s">
        <v>126</v>
      </c>
      <c r="B18" s="89" t="s">
        <v>168</v>
      </c>
    </row>
    <row r="19" spans="1:12" ht="15">
      <c r="A19" s="92" t="s">
        <v>126</v>
      </c>
      <c r="B19" s="89" t="s">
        <v>169</v>
      </c>
    </row>
    <row r="22" spans="1:12">
      <c r="A22" s="1"/>
      <c r="B22" s="1"/>
      <c r="C22" s="1"/>
      <c r="D22" s="1"/>
      <c r="E22" s="1"/>
      <c r="F22" s="1"/>
      <c r="G22" s="1"/>
      <c r="H22" s="1"/>
      <c r="I22" s="1"/>
      <c r="J22" s="1"/>
      <c r="K22" s="1"/>
      <c r="L22" s="1"/>
    </row>
    <row r="23" spans="1:12">
      <c r="A23" s="1"/>
      <c r="B23" s="1"/>
      <c r="C23" s="1"/>
      <c r="D23" s="1"/>
      <c r="E23" s="1"/>
      <c r="F23" s="1"/>
      <c r="G23" s="1"/>
      <c r="H23" s="1"/>
      <c r="I23" s="1"/>
      <c r="J23" s="1"/>
      <c r="K23" s="1"/>
      <c r="L23" s="1"/>
    </row>
    <row r="24" spans="1:12">
      <c r="A24" s="1"/>
      <c r="B24" s="1"/>
      <c r="C24" s="1"/>
      <c r="D24" s="1"/>
      <c r="E24" s="1"/>
      <c r="F24" s="1"/>
      <c r="G24" s="1"/>
      <c r="H24" s="1"/>
      <c r="I24" s="1"/>
      <c r="J24" s="1"/>
      <c r="K24" s="1"/>
      <c r="L24" s="1"/>
    </row>
    <row r="25" spans="1:12">
      <c r="A25" s="1"/>
      <c r="B25" s="1"/>
      <c r="C25" s="1"/>
      <c r="D25" s="1"/>
      <c r="E25" s="1"/>
      <c r="F25" s="1"/>
      <c r="G25" s="1"/>
      <c r="H25" s="1"/>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row r="28" spans="1:12">
      <c r="A28" s="1"/>
      <c r="B28" s="1"/>
      <c r="C28" s="1"/>
      <c r="D28" s="1"/>
      <c r="E28" s="1"/>
      <c r="F28" s="1"/>
      <c r="G28" s="1"/>
      <c r="H28" s="1"/>
      <c r="I28" s="1"/>
      <c r="J28" s="1"/>
      <c r="K28" s="1"/>
      <c r="L28" s="1"/>
    </row>
    <row r="29" spans="1:12">
      <c r="A29" s="1"/>
      <c r="B29" s="1"/>
      <c r="C29" s="1"/>
      <c r="D29" s="1"/>
      <c r="E29" s="1"/>
      <c r="F29" s="1"/>
    </row>
  </sheetData>
  <mergeCells count="2">
    <mergeCell ref="A1:F1"/>
    <mergeCell ref="B15:F16"/>
  </mergeCells>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election activeCell="A17" sqref="A17:B18"/>
    </sheetView>
  </sheetViews>
  <sheetFormatPr baseColWidth="10" defaultRowHeight="14" x14ac:dyDescent="0"/>
  <cols>
    <col min="2" max="9" width="16.1640625" customWidth="1"/>
  </cols>
  <sheetData>
    <row r="1" spans="1:9" ht="30" customHeight="1">
      <c r="A1" s="186" t="s">
        <v>181</v>
      </c>
      <c r="B1" s="187"/>
      <c r="C1" s="187"/>
      <c r="D1" s="187"/>
      <c r="E1" s="187"/>
      <c r="F1" s="187"/>
      <c r="G1" s="187"/>
      <c r="H1" s="187"/>
      <c r="I1" s="188"/>
    </row>
    <row r="2" spans="1:9" ht="52" customHeight="1">
      <c r="A2" s="129" t="s">
        <v>31</v>
      </c>
      <c r="B2" s="129" t="s">
        <v>157</v>
      </c>
      <c r="C2" s="129" t="s">
        <v>22</v>
      </c>
      <c r="D2" s="129" t="s">
        <v>158</v>
      </c>
      <c r="E2" s="129" t="s">
        <v>159</v>
      </c>
      <c r="F2" s="129" t="s">
        <v>160</v>
      </c>
      <c r="G2" s="129" t="s">
        <v>161</v>
      </c>
      <c r="H2" s="129" t="s">
        <v>162</v>
      </c>
      <c r="I2" s="129" t="s">
        <v>163</v>
      </c>
    </row>
    <row r="3" spans="1:9" s="59" customFormat="1" ht="24" customHeight="1">
      <c r="A3" s="118">
        <v>1</v>
      </c>
      <c r="B3" s="133">
        <v>10.3</v>
      </c>
      <c r="C3" s="131">
        <f>B3/$B$10</f>
        <v>0.87606318347509127</v>
      </c>
      <c r="D3" s="132">
        <f>$C3*D$10</f>
        <v>1.2264884568651278</v>
      </c>
      <c r="E3" s="132">
        <f t="shared" ref="E3:H3" si="0">$C3*E10</f>
        <v>2.8034021871202923</v>
      </c>
      <c r="F3" s="132">
        <f t="shared" si="0"/>
        <v>18.660145808019443</v>
      </c>
      <c r="G3" s="132">
        <f t="shared" si="0"/>
        <v>16.031956257594171</v>
      </c>
      <c r="H3" s="132">
        <f t="shared" si="0"/>
        <v>12.878128797083841</v>
      </c>
      <c r="I3" s="133">
        <v>3.4</v>
      </c>
    </row>
    <row r="4" spans="1:9" s="59" customFormat="1" ht="24" customHeight="1">
      <c r="A4" s="118">
        <v>2</v>
      </c>
      <c r="B4" s="133">
        <v>11.1</v>
      </c>
      <c r="C4" s="131">
        <f t="shared" ref="C4:C9" si="1">B4/$B$10</f>
        <v>0.94410692588092349</v>
      </c>
      <c r="D4" s="132">
        <f t="shared" ref="D4:H9" si="2">$C4*D$10</f>
        <v>1.3217496962332929</v>
      </c>
      <c r="E4" s="132">
        <f t="shared" si="2"/>
        <v>3.0211421628189554</v>
      </c>
      <c r="F4" s="132">
        <f t="shared" si="2"/>
        <v>20.10947752126367</v>
      </c>
      <c r="G4" s="132">
        <f t="shared" si="2"/>
        <v>17.2771567436209</v>
      </c>
      <c r="H4" s="132">
        <f t="shared" si="2"/>
        <v>13.878371810449575</v>
      </c>
      <c r="I4" s="133">
        <v>3.5</v>
      </c>
    </row>
    <row r="5" spans="1:9" s="59" customFormat="1" ht="24" customHeight="1">
      <c r="A5" s="118">
        <v>3</v>
      </c>
      <c r="B5" s="133">
        <v>10.4</v>
      </c>
      <c r="C5" s="131">
        <f t="shared" si="1"/>
        <v>0.88456865127582029</v>
      </c>
      <c r="D5" s="132">
        <f t="shared" si="2"/>
        <v>1.2383961117861484</v>
      </c>
      <c r="E5" s="132">
        <f t="shared" si="2"/>
        <v>2.8306196840826252</v>
      </c>
      <c r="F5" s="132">
        <f t="shared" si="2"/>
        <v>18.841312272174974</v>
      </c>
      <c r="G5" s="132">
        <f t="shared" si="2"/>
        <v>16.187606318347513</v>
      </c>
      <c r="H5" s="132">
        <f t="shared" si="2"/>
        <v>13.003159173754558</v>
      </c>
      <c r="I5" s="133">
        <v>3.6</v>
      </c>
    </row>
    <row r="6" spans="1:9" s="59" customFormat="1" ht="24" customHeight="1">
      <c r="A6" s="118">
        <v>4</v>
      </c>
      <c r="B6" s="133">
        <v>11.1</v>
      </c>
      <c r="C6" s="131">
        <f t="shared" si="1"/>
        <v>0.94410692588092349</v>
      </c>
      <c r="D6" s="132">
        <f t="shared" si="2"/>
        <v>1.3217496962332929</v>
      </c>
      <c r="E6" s="132">
        <f t="shared" si="2"/>
        <v>3.0211421628189554</v>
      </c>
      <c r="F6" s="132">
        <f t="shared" si="2"/>
        <v>20.10947752126367</v>
      </c>
      <c r="G6" s="132">
        <f t="shared" si="2"/>
        <v>17.2771567436209</v>
      </c>
      <c r="H6" s="132">
        <f t="shared" si="2"/>
        <v>13.878371810449575</v>
      </c>
      <c r="I6" s="133">
        <v>3.5</v>
      </c>
    </row>
    <row r="7" spans="1:9" s="59" customFormat="1" ht="24" customHeight="1">
      <c r="A7" s="118">
        <v>5</v>
      </c>
      <c r="B7" s="133">
        <v>11.9</v>
      </c>
      <c r="C7" s="131">
        <f t="shared" si="1"/>
        <v>1.0121506682867558</v>
      </c>
      <c r="D7" s="132">
        <f t="shared" si="2"/>
        <v>1.417010935601458</v>
      </c>
      <c r="E7" s="132">
        <f t="shared" si="2"/>
        <v>3.238882138517619</v>
      </c>
      <c r="F7" s="132">
        <f t="shared" si="2"/>
        <v>21.558809234507901</v>
      </c>
      <c r="G7" s="132">
        <f t="shared" si="2"/>
        <v>18.522357229647632</v>
      </c>
      <c r="H7" s="132">
        <f t="shared" si="2"/>
        <v>14.87861482381531</v>
      </c>
      <c r="I7" s="133">
        <v>3.4</v>
      </c>
    </row>
    <row r="8" spans="1:9" s="59" customFormat="1" ht="24" customHeight="1">
      <c r="A8" s="118">
        <v>6</v>
      </c>
      <c r="B8" s="133">
        <v>12.9</v>
      </c>
      <c r="C8" s="131">
        <f t="shared" si="1"/>
        <v>1.0972053462940463</v>
      </c>
      <c r="D8" s="132">
        <f t="shared" si="2"/>
        <v>1.5360874848116648</v>
      </c>
      <c r="E8" s="132">
        <f t="shared" si="2"/>
        <v>3.5110571081409483</v>
      </c>
      <c r="F8" s="132">
        <f t="shared" si="2"/>
        <v>23.370473876063187</v>
      </c>
      <c r="G8" s="132">
        <f t="shared" si="2"/>
        <v>20.078857837181047</v>
      </c>
      <c r="H8" s="132">
        <f t="shared" si="2"/>
        <v>16.128918590522481</v>
      </c>
      <c r="I8" s="133">
        <v>3.4</v>
      </c>
    </row>
    <row r="9" spans="1:9" s="59" customFormat="1" ht="24" customHeight="1">
      <c r="A9" s="118">
        <v>7</v>
      </c>
      <c r="B9" s="133">
        <v>14.6</v>
      </c>
      <c r="C9" s="131">
        <f t="shared" si="1"/>
        <v>1.24179829890644</v>
      </c>
      <c r="D9" s="132">
        <f t="shared" si="2"/>
        <v>1.7385176184690159</v>
      </c>
      <c r="E9" s="132">
        <f t="shared" si="2"/>
        <v>3.9737545565006083</v>
      </c>
      <c r="F9" s="132">
        <f t="shared" si="2"/>
        <v>26.450303766707172</v>
      </c>
      <c r="G9" s="132">
        <f t="shared" si="2"/>
        <v>22.724908869987853</v>
      </c>
      <c r="H9" s="132">
        <f t="shared" si="2"/>
        <v>18.254434993924669</v>
      </c>
      <c r="I9" s="133">
        <v>3.2</v>
      </c>
    </row>
    <row r="10" spans="1:9" s="59" customFormat="1" ht="24" customHeight="1">
      <c r="A10" s="84" t="s">
        <v>156</v>
      </c>
      <c r="B10" s="130">
        <f>AVERAGE(B3:B9)</f>
        <v>11.757142857142856</v>
      </c>
      <c r="C10" s="85" t="s">
        <v>28</v>
      </c>
      <c r="D10" s="133">
        <v>1.4</v>
      </c>
      <c r="E10" s="133">
        <v>3.2</v>
      </c>
      <c r="F10" s="133">
        <v>21.3</v>
      </c>
      <c r="G10" s="133">
        <v>18.3</v>
      </c>
      <c r="H10" s="133">
        <v>14.7</v>
      </c>
      <c r="I10" s="86"/>
    </row>
    <row r="12" spans="1:9" ht="1" customHeight="1"/>
    <row r="13" spans="1:9" ht="29" customHeight="1">
      <c r="A13" s="189" t="s">
        <v>76</v>
      </c>
      <c r="B13" s="189"/>
      <c r="C13" s="189"/>
      <c r="D13" s="189"/>
      <c r="E13" s="189"/>
      <c r="F13" s="189"/>
      <c r="G13" s="189"/>
      <c r="H13" s="189"/>
      <c r="I13" s="189"/>
    </row>
    <row r="14" spans="1:9" ht="47" customHeight="1">
      <c r="A14" s="118" t="s">
        <v>31</v>
      </c>
      <c r="B14" s="129" t="s">
        <v>14</v>
      </c>
      <c r="C14" s="129" t="s">
        <v>22</v>
      </c>
      <c r="D14" s="129" t="s">
        <v>23</v>
      </c>
      <c r="E14" s="129" t="s">
        <v>24</v>
      </c>
      <c r="F14" s="129" t="s">
        <v>25</v>
      </c>
      <c r="G14" s="129" t="s">
        <v>26</v>
      </c>
      <c r="H14" s="129" t="s">
        <v>27</v>
      </c>
      <c r="I14" s="129" t="s">
        <v>8</v>
      </c>
    </row>
    <row r="15" spans="1:9" ht="28" customHeight="1">
      <c r="A15" s="95">
        <f>Stadtgrößenzuordnung!A12</f>
        <v>2</v>
      </c>
      <c r="B15" s="95">
        <f t="shared" ref="B15:I15" si="3">INDEX(B3:B9,MATCH($A$15,$A$3:$A$9,0))</f>
        <v>11.1</v>
      </c>
      <c r="C15" s="134">
        <f t="shared" si="3"/>
        <v>0.94410692588092349</v>
      </c>
      <c r="D15" s="134">
        <f t="shared" si="3"/>
        <v>1.3217496962332929</v>
      </c>
      <c r="E15" s="134">
        <f t="shared" si="3"/>
        <v>3.0211421628189554</v>
      </c>
      <c r="F15" s="134">
        <f t="shared" si="3"/>
        <v>20.10947752126367</v>
      </c>
      <c r="G15" s="134">
        <f t="shared" si="3"/>
        <v>17.2771567436209</v>
      </c>
      <c r="H15" s="134">
        <f t="shared" si="3"/>
        <v>13.878371810449575</v>
      </c>
      <c r="I15" s="95">
        <f t="shared" si="3"/>
        <v>3.5</v>
      </c>
    </row>
    <row r="17" spans="1:6" ht="15">
      <c r="A17" s="91" t="s">
        <v>126</v>
      </c>
      <c r="B17" s="89" t="s">
        <v>168</v>
      </c>
    </row>
    <row r="18" spans="1:6" ht="15">
      <c r="A18" s="92" t="s">
        <v>126</v>
      </c>
      <c r="B18" s="89" t="s">
        <v>169</v>
      </c>
      <c r="F18" s="23"/>
    </row>
    <row r="20" spans="1:6">
      <c r="A20" s="24" t="s">
        <v>69</v>
      </c>
    </row>
    <row r="21" spans="1:6">
      <c r="A21" t="s">
        <v>70</v>
      </c>
    </row>
    <row r="22" spans="1:6">
      <c r="A22" t="s">
        <v>182</v>
      </c>
    </row>
    <row r="23" spans="1:6">
      <c r="A23" t="s">
        <v>71</v>
      </c>
    </row>
    <row r="24" spans="1:6">
      <c r="A24" t="s">
        <v>72</v>
      </c>
    </row>
  </sheetData>
  <mergeCells count="2">
    <mergeCell ref="A1:I1"/>
    <mergeCell ref="A13:I13"/>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11</vt:i4>
      </vt:variant>
    </vt:vector>
  </HeadingPairs>
  <TitlesOfParts>
    <vt:vector size="11" baseType="lpstr">
      <vt:lpstr>Lizenz</vt:lpstr>
      <vt:lpstr>Bedienungsanleitung</vt:lpstr>
      <vt:lpstr>CO2-Rechner</vt:lpstr>
      <vt:lpstr>Bundesbenchmark</vt:lpstr>
      <vt:lpstr>Grafiken Bundesvergleich</vt:lpstr>
      <vt:lpstr>CO2</vt:lpstr>
      <vt:lpstr>Stadtgrößenzuordnung</vt:lpstr>
      <vt:lpstr>Modal Split</vt:lpstr>
      <vt:lpstr>Wegelängen</vt:lpstr>
      <vt:lpstr>Rechner</vt:lpstr>
      <vt:lpstr>Einzelschritte</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Erik</dc:creator>
  <cp:keywords/>
  <dc:description/>
  <cp:lastModifiedBy>Heinrich Strößenreuther</cp:lastModifiedBy>
  <cp:lastPrinted>2015-06-19T08:24:53Z</cp:lastPrinted>
  <dcterms:created xsi:type="dcterms:W3CDTF">2015-04-28T10:30:01Z</dcterms:created>
  <dcterms:modified xsi:type="dcterms:W3CDTF">2017-11-06T06:14:59Z</dcterms:modified>
  <cp:category/>
</cp:coreProperties>
</file>